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729"/>
  <workbookPr defaultThemeVersion="124226"/>
  <mc:AlternateContent xmlns:mc="http://schemas.openxmlformats.org/markup-compatibility/2006">
    <mc:Choice Requires="x15">
      <x15ac:absPath xmlns:x15ac="http://schemas.microsoft.com/office/spreadsheetml/2010/11/ac" url="X:\Traffic Control Design\MOT\Road User Costs\Spreadsheet Revisions\"/>
    </mc:Choice>
  </mc:AlternateContent>
  <xr:revisionPtr revIDLastSave="0" documentId="8_{ED802F78-4918-4A23-BC88-3FB2102B2726}" xr6:coauthVersionLast="47" xr6:coauthVersionMax="47" xr10:uidLastSave="{00000000-0000-0000-0000-000000000000}"/>
  <workbookProtection workbookPassword="AB33" lockStructure="1"/>
  <bookViews>
    <workbookView xWindow="-28920" yWindow="-120" windowWidth="29040" windowHeight="15840" tabRatio="818" firstSheet="1" activeTab="1"/>
  </bookViews>
  <sheets>
    <sheet name="No Lanes Closed" sheetId="1" state="hidden" r:id="rId1"/>
    <sheet name="Lane(s) Closed on Mainline" sheetId="10" r:id="rId2"/>
    <sheet name="Lane(s) Closed Calc Method" sheetId="12" state="hidden" r:id="rId3"/>
    <sheet name="Lane(s) Closed Violation Calc" sheetId="11" state="hidden" r:id="rId4"/>
    <sheet name="Lane Closed on 2-Ln System Ramp" sheetId="14" state="hidden" r:id="rId5"/>
    <sheet name="Detour (Actual Drive Time)" sheetId="8" r:id="rId6"/>
    <sheet name="Detour (Distance &amp; Speed)" sheetId="7" r:id="rId7"/>
    <sheet name="CPI Data" sheetId="5" r:id="rId8"/>
    <sheet name="FAQ" sheetId="6" r:id="rId9"/>
    <sheet name="Revision History" sheetId="16" r:id="rId10"/>
  </sheets>
  <definedNames>
    <definedName name="_xlnm._FilterDatabase" localSheetId="9" hidden="1">'Revision History'!$A$3:$B$60</definedName>
    <definedName name="_xlnm.Print_Area" localSheetId="5">'Detour (Actual Drive Time)'!$A$1:$F$31</definedName>
    <definedName name="_xlnm.Print_Area" localSheetId="6">'Detour (Distance &amp; Speed)'!$A$1:$F$35</definedName>
    <definedName name="_xlnm.Print_Area" localSheetId="8">FAQ!$A$1:$O$57</definedName>
    <definedName name="_xlnm.Print_Area" localSheetId="4">'Lane Closed on 2-Ln System Ramp'!$A$1:$F$29</definedName>
    <definedName name="_xlnm.Print_Area" localSheetId="2">'Lane(s) Closed Calc Method'!$A$1:$O$45</definedName>
    <definedName name="_xlnm.Print_Area" localSheetId="1">'Lane(s) Closed on Mainline'!$A$1:$E$28</definedName>
    <definedName name="_xlnm.Print_Area" localSheetId="3">'Lane(s) Closed Violation Calc'!$A$1:$F$18</definedName>
    <definedName name="_xlnm.Print_Area" localSheetId="0">'No Lanes Closed'!$A$1:$F$31</definedName>
    <definedName name="_xlnm.Print_Area" localSheetId="9">'Revision History'!$A:$B</definedName>
    <definedName name="_xlnm.Print_Titles" localSheetId="9">'Revision History'!$1:$2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2" i="6" l="1"/>
  <c r="L31" i="6"/>
  <c r="L30" i="6"/>
  <c r="L29" i="6"/>
  <c r="L28" i="6"/>
  <c r="L27" i="6"/>
  <c r="L26" i="6"/>
  <c r="L25" i="6"/>
  <c r="L24" i="6"/>
  <c r="J32" i="6"/>
  <c r="J31" i="6"/>
  <c r="J30" i="6"/>
  <c r="J29" i="6"/>
  <c r="J28" i="6"/>
  <c r="J27" i="6"/>
  <c r="J26" i="6"/>
  <c r="J25" i="6"/>
  <c r="J24" i="6"/>
  <c r="J23" i="6"/>
  <c r="L23" i="6"/>
  <c r="F19" i="5"/>
  <c r="G19" i="5"/>
  <c r="F20" i="5"/>
  <c r="F21" i="5"/>
  <c r="F22" i="5"/>
  <c r="F23" i="5"/>
  <c r="F24" i="5"/>
  <c r="F25" i="5"/>
  <c r="F26" i="5"/>
  <c r="F27" i="5"/>
  <c r="F28" i="5"/>
  <c r="G20" i="5"/>
  <c r="E19" i="5"/>
  <c r="E20" i="5"/>
  <c r="F18" i="5"/>
  <c r="E18" i="5"/>
  <c r="G18" i="5"/>
  <c r="E17" i="5"/>
  <c r="F17" i="5"/>
  <c r="E14" i="14"/>
  <c r="D14" i="14"/>
  <c r="C28" i="14"/>
  <c r="E13" i="14"/>
  <c r="E15" i="14"/>
  <c r="D13" i="14"/>
  <c r="D15" i="14"/>
  <c r="E14" i="10"/>
  <c r="D14" i="10"/>
  <c r="D11" i="11"/>
  <c r="C17" i="11"/>
  <c r="C28" i="10"/>
  <c r="E13" i="10"/>
  <c r="D13" i="10"/>
  <c r="E15" i="1"/>
  <c r="D15" i="1"/>
  <c r="E14" i="8"/>
  <c r="E17" i="8"/>
  <c r="E18" i="8"/>
  <c r="E19" i="8"/>
  <c r="D14" i="8"/>
  <c r="E16" i="7"/>
  <c r="D16" i="7"/>
  <c r="E16" i="5"/>
  <c r="G16" i="5"/>
  <c r="E15" i="5"/>
  <c r="F15" i="5"/>
  <c r="G15" i="5"/>
  <c r="E14" i="5"/>
  <c r="G14" i="5"/>
  <c r="C30" i="8"/>
  <c r="C34" i="7"/>
  <c r="C30" i="1"/>
  <c r="E15" i="8"/>
  <c r="E16" i="8"/>
  <c r="D15" i="8"/>
  <c r="D16" i="8"/>
  <c r="E18" i="7"/>
  <c r="D18" i="7"/>
  <c r="E17" i="7"/>
  <c r="E19" i="7"/>
  <c r="E20" i="7"/>
  <c r="D17" i="7"/>
  <c r="D19" i="7"/>
  <c r="D20" i="7"/>
  <c r="E17" i="1"/>
  <c r="D17" i="1"/>
  <c r="E16" i="1"/>
  <c r="E18" i="1"/>
  <c r="E19" i="1"/>
  <c r="E20" i="1"/>
  <c r="E21" i="1"/>
  <c r="E22" i="1"/>
  <c r="D16" i="1"/>
  <c r="E9" i="5"/>
  <c r="F9" i="5"/>
  <c r="E10" i="5"/>
  <c r="F10" i="5"/>
  <c r="G10" i="5"/>
  <c r="E11" i="5"/>
  <c r="G11" i="5"/>
  <c r="E12" i="5"/>
  <c r="G12" i="5"/>
  <c r="E13" i="5"/>
  <c r="F13" i="5"/>
  <c r="E8" i="5"/>
  <c r="G8" i="5"/>
  <c r="F11" i="5"/>
  <c r="G9" i="5"/>
  <c r="D18" i="1"/>
  <c r="D19" i="1"/>
  <c r="F12" i="5"/>
  <c r="F8" i="5"/>
  <c r="G17" i="5"/>
  <c r="D15" i="10"/>
  <c r="E15" i="10"/>
  <c r="E21" i="7"/>
  <c r="E22" i="7"/>
  <c r="E23" i="7"/>
  <c r="G21" i="5"/>
  <c r="G22" i="5"/>
  <c r="G23" i="5"/>
  <c r="G24" i="5"/>
  <c r="G25" i="5"/>
  <c r="G26" i="5"/>
  <c r="G27" i="5"/>
  <c r="G28" i="5"/>
  <c r="D21" i="7"/>
  <c r="D22" i="7"/>
  <c r="D23" i="7"/>
  <c r="D24" i="7"/>
  <c r="D25" i="7"/>
  <c r="D20" i="1"/>
  <c r="D21" i="1"/>
  <c r="D22" i="1"/>
  <c r="D23" i="1"/>
  <c r="D24" i="1"/>
  <c r="D16" i="14"/>
  <c r="D17" i="14"/>
  <c r="D18" i="14"/>
  <c r="D19" i="14"/>
  <c r="D20" i="14"/>
  <c r="D17" i="8"/>
  <c r="D18" i="8"/>
  <c r="D19" i="8"/>
  <c r="D20" i="8"/>
  <c r="D21" i="8"/>
  <c r="F16" i="5"/>
  <c r="F14" i="5"/>
  <c r="G13" i="5"/>
  <c r="D16" i="10"/>
  <c r="D17" i="10"/>
  <c r="D18" i="10"/>
  <c r="D19" i="10"/>
  <c r="D20" i="10"/>
  <c r="D13" i="11"/>
</calcChain>
</file>

<file path=xl/comments1.xml><?xml version="1.0" encoding="utf-8"?>
<comments xmlns="http://schemas.openxmlformats.org/spreadsheetml/2006/main">
  <authors>
    <author>Emily Willis</author>
  </authors>
  <commentList>
    <comment ref="B26" authorId="0" shapeId="0">
      <text>
        <r>
          <rPr>
            <b/>
            <sz val="9"/>
            <color indexed="81"/>
            <rFont val="Tahoma"/>
            <family val="2"/>
          </rPr>
          <t>Emily Willis:</t>
        </r>
        <r>
          <rPr>
            <sz val="9"/>
            <color indexed="81"/>
            <rFont val="Tahoma"/>
            <family val="2"/>
          </rPr>
          <t xml:space="preserve">
If we publish this work sheet then duplicate this note on the mainline worksheet (with modifications to make it read properly). Also consider adding it to the FAQs. </t>
        </r>
      </text>
    </comment>
  </commentList>
</comments>
</file>

<file path=xl/sharedStrings.xml><?xml version="1.0" encoding="utf-8"?>
<sst xmlns="http://schemas.openxmlformats.org/spreadsheetml/2006/main" count="281" uniqueCount="200">
  <si>
    <t>B/C Truck</t>
  </si>
  <si>
    <t>Spreadsheet protection password: CONSTRUCTION</t>
  </si>
  <si>
    <t>Semiannual Average</t>
  </si>
  <si>
    <t>1st half</t>
  </si>
  <si>
    <t>2nd half</t>
  </si>
  <si>
    <t>% change from 2008 Annual Average</t>
  </si>
  <si>
    <t>Annual Average</t>
  </si>
  <si>
    <t>www.bls.gov/cpi</t>
  </si>
  <si>
    <t>User Cost/Hour</t>
  </si>
  <si>
    <t>Car</t>
  </si>
  <si>
    <t>Truck</t>
  </si>
  <si>
    <t>CPI Year</t>
  </si>
  <si>
    <t>Project Year</t>
  </si>
  <si>
    <t>Actual</t>
  </si>
  <si>
    <t>County-Route-Section:</t>
  </si>
  <si>
    <t>User Input:</t>
  </si>
  <si>
    <t>Work Zone User Cost Calculations</t>
  </si>
  <si>
    <t>No Lanes Closed</t>
  </si>
  <si>
    <t>Duration of Work Zone (Days):</t>
  </si>
  <si>
    <t>Calculated Values:</t>
  </si>
  <si>
    <t>Delay (Secs):</t>
  </si>
  <si>
    <t>Delay (Hours):</t>
  </si>
  <si>
    <t>Detour (Using Distance &amp; Speed)</t>
  </si>
  <si>
    <t>Length of Normal Route (Miles):</t>
  </si>
  <si>
    <t>Length of Detour Route (Miles):</t>
  </si>
  <si>
    <t>Duration of Closure (Days):</t>
  </si>
  <si>
    <t>Travel Time Along Normal Route (Secs):</t>
  </si>
  <si>
    <t>Travel Time Along Detour Route (Secs):</t>
  </si>
  <si>
    <t>Detour (Using Actual Drive Time)</t>
  </si>
  <si>
    <t>Time to Drive Normal Route (Min):</t>
  </si>
  <si>
    <t>Time to Drive Detour Route (Min):</t>
  </si>
  <si>
    <t>Delay (Min):</t>
  </si>
  <si>
    <t xml:space="preserve">www.bls.gov/cpi </t>
  </si>
  <si>
    <t>Example:</t>
  </si>
  <si>
    <t xml:space="preserve">Example: </t>
  </si>
  <si>
    <r>
      <rPr>
        <b/>
        <sz val="11"/>
        <rFont val="Calibri"/>
        <family val="2"/>
      </rPr>
      <t xml:space="preserve">1)   </t>
    </r>
    <r>
      <rPr>
        <b/>
        <i/>
        <sz val="11"/>
        <rFont val="Calibri"/>
        <family val="2"/>
      </rPr>
      <t xml:space="preserve">What is the latest adjustment factor for car and truck road user costs for use with the road user cost spreadsheet? </t>
    </r>
  </si>
  <si>
    <t xml:space="preserve">Contact: </t>
  </si>
  <si>
    <t>or</t>
  </si>
  <si>
    <t xml:space="preserve">Fill in all highlighted cells. </t>
  </si>
  <si>
    <t xml:space="preserve">Date Calculated: </t>
  </si>
  <si>
    <t>Delay Cost per Day:</t>
  </si>
  <si>
    <t>Delay Cost per Vehicle:</t>
  </si>
  <si>
    <t>Delay Cost for Work Zone Duration:</t>
  </si>
  <si>
    <t>Total Delay Cost for Work Zone Duration:</t>
  </si>
  <si>
    <t xml:space="preserve">The Average Delay Cost per Day is the MAXIMUM that may be used as incentive / disincentive. </t>
  </si>
  <si>
    <t>Delay Cost for Closure Duration:</t>
  </si>
  <si>
    <t>Total Delay Cost for Closure Duration:</t>
  </si>
  <si>
    <t>Construction Calendar Year:</t>
  </si>
  <si>
    <t>ADT of Detoured Section:</t>
  </si>
  <si>
    <t>ADT of Section:</t>
  </si>
  <si>
    <t>Original Posted Speed (MPH):</t>
  </si>
  <si>
    <t>Work Zone Posted Speed (MPH):</t>
  </si>
  <si>
    <t>Travel Time Pre-Work Zone (Secs):</t>
  </si>
  <si>
    <t>Travel Time During Work Zone (Secs):</t>
  </si>
  <si>
    <t>Cost per Hour:</t>
  </si>
  <si>
    <t>Length of Work Zone (Miles):</t>
  </si>
  <si>
    <t>Project ID:</t>
  </si>
  <si>
    <t>Average Delay Cost per Day:</t>
  </si>
  <si>
    <t>Avg Posted Speed on Normal Route (MPH):</t>
  </si>
  <si>
    <t>Avg Posted Speed on Detour Route (MPH):</t>
  </si>
  <si>
    <t xml:space="preserve"> </t>
  </si>
  <si>
    <t>https://www.bls.gov/cpi/tables/supplemental-files/home.htm</t>
  </si>
  <si>
    <t xml:space="preserve">(Bureau of Labor Statistics website has since been changed. As of 1/31/18, Table 24 can be found at the link below by clicking "Historical CPI-U" under the latest completed year.) </t>
  </si>
  <si>
    <t>Within the PDF report scroll to Table 24 ("Historical Consumer Price Index for All Urban Consumers (CPI-U): U.S. city average, all items - Continued"; the last page of Table 24). We use the annual average values rather than the monthly or semi-annual values to avoid potential volatility of the month-to-month factors.</t>
  </si>
  <si>
    <t>Emily.Willis@dot.ohio.gov</t>
  </si>
  <si>
    <t>The passenger car and truck costs shown in the Innovative Contracting Manual (ICM) are for 2008 values (provided to ODOT in early 2010 by FHWA Traffic Monitoring &amp; Survey Division). To obtain the current year values, use the Consumer Price Index (CPI) and calculate a ratio to bring the values up to date. The CPI can be found here at:</t>
  </si>
  <si>
    <t>Estimated at 2% increase per year</t>
  </si>
  <si>
    <t>Number of Lanes Closed:</t>
  </si>
  <si>
    <t>Non-Allowable Lane Closure Start Time (HH:MM AM/PM):</t>
  </si>
  <si>
    <t>Non-Allowable Lane Closure End Time (HH:MM AM/PM):</t>
  </si>
  <si>
    <t>Total Non-Allowable Lane Closure Time (in Minutes):</t>
  </si>
  <si>
    <t xml:space="preserve">Fill out the Lane(s) Closed worksheet first. </t>
  </si>
  <si>
    <t>Work Zone Disincentive Calculator (Per Violation)</t>
  </si>
  <si>
    <t>Next, fill in the following highlighted cells.</t>
  </si>
  <si>
    <t xml:space="preserve">It is understood that the volumes may be directional on some facilities (something other than 50%/50%), but for simplicity the worksheet divides the total AADT by 2 (assumming 50% per direction). </t>
  </si>
  <si>
    <r>
      <t>AADT</t>
    </r>
    <r>
      <rPr>
        <b/>
        <i/>
        <sz val="10"/>
        <rFont val="Arial"/>
        <family val="2"/>
      </rPr>
      <t xml:space="preserve"> (Per the Matching PLCS Segment)</t>
    </r>
    <r>
      <rPr>
        <b/>
        <sz val="12"/>
        <rFont val="Arial"/>
        <family val="2"/>
      </rPr>
      <t>:</t>
    </r>
  </si>
  <si>
    <r>
      <t xml:space="preserve">% Trucks </t>
    </r>
    <r>
      <rPr>
        <b/>
        <i/>
        <sz val="10"/>
        <rFont val="Arial"/>
        <family val="2"/>
      </rPr>
      <t>(Per the Matching PLCS Segment)</t>
    </r>
    <r>
      <rPr>
        <b/>
        <sz val="12"/>
        <rFont val="Arial"/>
        <family val="2"/>
      </rPr>
      <t>:</t>
    </r>
  </si>
  <si>
    <r>
      <t xml:space="preserve">Lanes per Direction </t>
    </r>
    <r>
      <rPr>
        <b/>
        <i/>
        <sz val="10"/>
        <rFont val="Arial"/>
        <family val="2"/>
      </rPr>
      <t>(Per the Matching PLCS Segment)</t>
    </r>
    <r>
      <rPr>
        <b/>
        <sz val="12"/>
        <rFont val="Arial"/>
        <family val="2"/>
      </rPr>
      <t>:</t>
    </r>
  </si>
  <si>
    <t xml:space="preserve">Fill in all highlighted cells per the Permitted Lane Closure Schedule (PLCS) segment(s) that apply to the Construction Limits of the project. If more than one PLCS segment applies to the Construction Limits, each User Cost per PLCS segment shall be calculated seperately. </t>
  </si>
  <si>
    <r>
      <t xml:space="preserve">- </t>
    </r>
    <r>
      <rPr>
        <b/>
        <sz val="10"/>
        <rFont val="Arial"/>
        <family val="2"/>
      </rPr>
      <t>AADT</t>
    </r>
    <r>
      <rPr>
        <sz val="10"/>
        <rFont val="Arial"/>
        <family val="2"/>
      </rPr>
      <t xml:space="preserve"> is the total volume in both directions and can be found as circled below per the applicable PLCS.</t>
    </r>
  </si>
  <si>
    <r>
      <t xml:space="preserve">- </t>
    </r>
    <r>
      <rPr>
        <b/>
        <sz val="10"/>
        <rFont val="Arial"/>
        <family val="2"/>
      </rPr>
      <t>Lanes per Direction</t>
    </r>
    <r>
      <rPr>
        <sz val="10"/>
        <rFont val="Arial"/>
        <family val="2"/>
      </rPr>
      <t xml:space="preserve"> is the number of lanes preconstruction per direction and can be found as circled below per the applicable PLCS.</t>
    </r>
  </si>
  <si>
    <r>
      <t xml:space="preserve">- </t>
    </r>
    <r>
      <rPr>
        <b/>
        <sz val="10"/>
        <rFont val="Arial"/>
        <family val="2"/>
      </rPr>
      <t>Direction</t>
    </r>
    <r>
      <rPr>
        <sz val="10"/>
        <rFont val="Arial"/>
        <family val="2"/>
      </rPr>
      <t xml:space="preserve"> on the PLCS (shown circled below) represents where the resulting user cost applies within the associated project segment. For some PLCS segments this is "BOTH" and will apply to both directions of the associated project segment. Some PLCS segments are directional (e.g. "EAST", "NORTH", etc) and the resulting user cost based upon those PLCS segment(s) will apply only to the same direction of the associated project segment. </t>
    </r>
  </si>
  <si>
    <r>
      <t xml:space="preserve">- </t>
    </r>
    <r>
      <rPr>
        <b/>
        <sz val="10"/>
        <rFont val="Arial"/>
        <family val="2"/>
      </rPr>
      <t>% Trucks</t>
    </r>
    <r>
      <rPr>
        <sz val="10"/>
        <rFont val="Arial"/>
        <family val="2"/>
      </rPr>
      <t xml:space="preserve"> is an overall value for the day and can be found as circled below per the applicable PLCS. </t>
    </r>
  </si>
  <si>
    <t xml:space="preserve">WHERE TO FIND THE APPLICABLE VALUES TO ENTER: </t>
  </si>
  <si>
    <r>
      <t>Disincentive to be Applied</t>
    </r>
    <r>
      <rPr>
        <b/>
        <i/>
        <sz val="10"/>
        <rFont val="Arial"/>
        <family val="2"/>
      </rPr>
      <t xml:space="preserve"> (Per Matching PLCS Segment)</t>
    </r>
    <r>
      <rPr>
        <b/>
        <sz val="12"/>
        <rFont val="Arial"/>
        <family val="2"/>
      </rPr>
      <t>:</t>
    </r>
  </si>
  <si>
    <r>
      <t>Vehicles per Day</t>
    </r>
    <r>
      <rPr>
        <sz val="10"/>
        <rFont val="Arial"/>
        <family val="2"/>
      </rPr>
      <t xml:space="preserve"> (Directionally)</t>
    </r>
    <r>
      <rPr>
        <sz val="12"/>
        <rFont val="Arial"/>
        <family val="2"/>
      </rPr>
      <t>:</t>
    </r>
  </si>
  <si>
    <r>
      <t>User Cost per Day by Vehicle Type</t>
    </r>
    <r>
      <rPr>
        <sz val="10"/>
        <rFont val="Arial"/>
        <family val="2"/>
      </rPr>
      <t xml:space="preserve"> (Directionally)</t>
    </r>
    <r>
      <rPr>
        <sz val="12"/>
        <rFont val="Arial"/>
        <family val="2"/>
      </rPr>
      <t>:</t>
    </r>
  </si>
  <si>
    <r>
      <t>User Cost per Day</t>
    </r>
    <r>
      <rPr>
        <sz val="10"/>
        <rFont val="Arial"/>
        <family val="2"/>
      </rPr>
      <t xml:space="preserve"> (Directionally)</t>
    </r>
    <r>
      <rPr>
        <sz val="12"/>
        <rFont val="Arial"/>
        <family val="2"/>
      </rPr>
      <t>:</t>
    </r>
  </si>
  <si>
    <r>
      <t>User Cost per Day per Lane</t>
    </r>
    <r>
      <rPr>
        <sz val="10"/>
        <rFont val="Arial"/>
        <family val="2"/>
      </rPr>
      <t xml:space="preserve"> (Directionally)</t>
    </r>
    <r>
      <rPr>
        <sz val="12"/>
        <rFont val="Arial"/>
        <family val="2"/>
      </rPr>
      <t>:</t>
    </r>
  </si>
  <si>
    <r>
      <t>User Cost per Hour per Lane</t>
    </r>
    <r>
      <rPr>
        <sz val="10"/>
        <rFont val="Arial"/>
        <family val="2"/>
      </rPr>
      <t xml:space="preserve"> (Directionally)</t>
    </r>
    <r>
      <rPr>
        <sz val="12"/>
        <rFont val="Arial"/>
        <family val="2"/>
      </rPr>
      <t>:</t>
    </r>
  </si>
  <si>
    <t>User Cost per Vehicle:</t>
  </si>
  <si>
    <r>
      <t xml:space="preserve">Lane(s) Closed on Mainline </t>
    </r>
    <r>
      <rPr>
        <b/>
        <i/>
        <sz val="10"/>
        <rFont val="Arial"/>
        <family val="2"/>
      </rPr>
      <t>(Based on Matching PLCS Segment)</t>
    </r>
  </si>
  <si>
    <t>User Cost per Vehicle per Hour:</t>
  </si>
  <si>
    <r>
      <t xml:space="preserve">3) </t>
    </r>
    <r>
      <rPr>
        <b/>
        <i/>
        <sz val="11"/>
        <rFont val="Calibri"/>
        <family val="2"/>
      </rPr>
      <t xml:space="preserve">On the Lane(s) Closed on Mainline worksheet, the user is to enter a total AADT (bidirectional). How does the worksheet know what percentage is for each direction? </t>
    </r>
  </si>
  <si>
    <r>
      <t xml:space="preserve">4) </t>
    </r>
    <r>
      <rPr>
        <b/>
        <i/>
        <sz val="11"/>
        <rFont val="Calibri"/>
        <family val="2"/>
      </rPr>
      <t xml:space="preserve">On the Lane(s) Closed on Mainline worksheet, what do I enter for number of lanes per direction? </t>
    </r>
  </si>
  <si>
    <t xml:space="preserve">The 2008 values given in the ICM are $19.22/Passenger Car and $51.88/Truck. </t>
  </si>
  <si>
    <r>
      <t xml:space="preserve">2)   </t>
    </r>
    <r>
      <rPr>
        <b/>
        <i/>
        <sz val="11"/>
        <rFont val="Calibri"/>
        <family val="2"/>
      </rPr>
      <t xml:space="preserve">What if I am calculating road user costs for a future year? Do the cost per passenger car and cost per truck change? If so, how? </t>
    </r>
  </si>
  <si>
    <r>
      <t>User Cost per Minute per Lane</t>
    </r>
    <r>
      <rPr>
        <sz val="10"/>
        <rFont val="Arial"/>
        <family val="2"/>
      </rPr>
      <t xml:space="preserve"> (Directionally)</t>
    </r>
    <r>
      <rPr>
        <sz val="12"/>
        <rFont val="Arial"/>
        <family val="2"/>
      </rPr>
      <t>:</t>
    </r>
  </si>
  <si>
    <t xml:space="preserve">The value used should match the number of lanes used in the same respective segment on the Permitted Lane Closure Schedule (PLCS). If the PLCS segment represents one direction, rather than both directions, then the resulting user cost per minute per lane will be only applicable for the direction represented in the PLCS segment. If the PLCS segment represents both directions, the resulting user cost per minute per lane will be applicable in both directions represented in the PLCS segment. In both cases the number of lanes per direction shown on the PLCS segment is the same number that will be entered on the Lane(s) Closed on Mainline worksheet. </t>
  </si>
  <si>
    <r>
      <t xml:space="preserve">6) </t>
    </r>
    <r>
      <rPr>
        <b/>
        <i/>
        <sz val="11"/>
        <rFont val="Calibri"/>
        <family val="2"/>
      </rPr>
      <t xml:space="preserve">What happened to the No Lanes Closed worksheet? </t>
    </r>
  </si>
  <si>
    <r>
      <rPr>
        <b/>
        <sz val="11"/>
        <rFont val="Calibri"/>
        <family val="2"/>
      </rPr>
      <t xml:space="preserve">7)   </t>
    </r>
    <r>
      <rPr>
        <b/>
        <i/>
        <sz val="11"/>
        <rFont val="Calibri"/>
        <family val="2"/>
      </rPr>
      <t xml:space="preserve">Who do I contact for more information or with questions? </t>
    </r>
  </si>
  <si>
    <r>
      <t xml:space="preserve">5) </t>
    </r>
    <r>
      <rPr>
        <b/>
        <i/>
        <sz val="11"/>
        <rFont val="Calibri"/>
        <family val="2"/>
      </rPr>
      <t>Why do I get a slightly different result when calculating the cost per minute per lane by hand rather than using the Lane(s) Closed on Mainline worksheet?</t>
    </r>
  </si>
  <si>
    <t xml:space="preserve">The Lane(s) Closed worksheet has the final user cost per minute per lane coded to always round down to the nearest $5. For example, if the resulting user cost per minute per lane calculates to $118.51 the resulting value is rounded down to $115 per minute per lane. </t>
  </si>
  <si>
    <t>Information Last Updated: 10/23/18</t>
  </si>
  <si>
    <t xml:space="preserve">Fill in all highlighted cells for Work Zone Disincentive Calculator, per violation. Highlighted cells in the Disincentive calculator are for use during construction when the need arrises calculate the disincentive to be applied due to a non-allowable closure. If a violation occured that extended into more than one contiguous PLCS Segments, the Lane(s) Closed worksheet shall be filled in using the PLCS segment resulting in the highest User Cost per Minute per Lane impacted by the violation. </t>
  </si>
  <si>
    <r>
      <t>$RUC</t>
    </r>
    <r>
      <rPr>
        <vertAlign val="subscript"/>
        <sz val="10"/>
        <rFont val="Arial"/>
        <family val="2"/>
      </rPr>
      <t>TOTAL</t>
    </r>
    <r>
      <rPr>
        <sz val="10"/>
        <rFont val="Arial"/>
      </rPr>
      <t xml:space="preserve"> = ($RUC</t>
    </r>
    <r>
      <rPr>
        <vertAlign val="subscript"/>
        <sz val="10"/>
        <rFont val="Arial"/>
        <family val="2"/>
      </rPr>
      <t>CARS</t>
    </r>
    <r>
      <rPr>
        <sz val="10"/>
        <rFont val="Arial"/>
      </rPr>
      <t xml:space="preserve"> + $RUC</t>
    </r>
    <r>
      <rPr>
        <vertAlign val="subscript"/>
        <sz val="10"/>
        <rFont val="Arial"/>
        <family val="2"/>
      </rPr>
      <t>TRUCKS</t>
    </r>
    <r>
      <rPr>
        <sz val="10"/>
        <rFont val="Arial"/>
        <family val="2"/>
      </rPr>
      <t>)*(#Minutes Closed)*(#Lanes Closed)</t>
    </r>
  </si>
  <si>
    <r>
      <t>$RUC</t>
    </r>
    <r>
      <rPr>
        <vertAlign val="subscript"/>
        <sz val="10"/>
        <rFont val="Arial"/>
        <family val="2"/>
      </rPr>
      <t>CARS</t>
    </r>
    <r>
      <rPr>
        <sz val="10"/>
        <rFont val="Arial"/>
        <family val="2"/>
      </rPr>
      <t xml:space="preserve"> = (CARS/(Minute*Lane))*($/CAR)</t>
    </r>
  </si>
  <si>
    <r>
      <t>$RUC</t>
    </r>
    <r>
      <rPr>
        <vertAlign val="subscript"/>
        <sz val="10"/>
        <rFont val="Arial"/>
        <family val="2"/>
      </rPr>
      <t>TRUCKS</t>
    </r>
    <r>
      <rPr>
        <sz val="10"/>
        <rFont val="Arial"/>
        <family val="2"/>
      </rPr>
      <t xml:space="preserve"> = (TRUCKS/Minute*Lane)*($/TRUCK)</t>
    </r>
  </si>
  <si>
    <r>
      <t>$RUC</t>
    </r>
    <r>
      <rPr>
        <vertAlign val="subscript"/>
        <sz val="10"/>
        <rFont val="Arial"/>
        <family val="2"/>
      </rPr>
      <t>CARS</t>
    </r>
    <r>
      <rPr>
        <sz val="10"/>
        <rFont val="Arial"/>
        <family val="2"/>
      </rPr>
      <t xml:space="preserve"> = (((60000/2)*0.90) cars/(24 hr*60 min*3 lanes))*($21.88/car)</t>
    </r>
  </si>
  <si>
    <r>
      <t>$RUC</t>
    </r>
    <r>
      <rPr>
        <vertAlign val="subscript"/>
        <sz val="10"/>
        <rFont val="Arial"/>
        <family val="2"/>
      </rPr>
      <t>CARS</t>
    </r>
    <r>
      <rPr>
        <sz val="10"/>
        <rFont val="Arial"/>
        <family val="2"/>
      </rPr>
      <t xml:space="preserve"> = (6.25 cars/minute-lane)*($21.88/car)</t>
    </r>
  </si>
  <si>
    <r>
      <t>$RUC</t>
    </r>
    <r>
      <rPr>
        <vertAlign val="subscript"/>
        <sz val="10"/>
        <rFont val="Arial"/>
        <family val="2"/>
      </rPr>
      <t>CARS</t>
    </r>
    <r>
      <rPr>
        <sz val="10"/>
        <rFont val="Arial"/>
        <family val="2"/>
      </rPr>
      <t xml:space="preserve"> = $136.75/minute-lane</t>
    </r>
  </si>
  <si>
    <t>NOTE: Round $/minute-lane down to the nearest $5; $136.75/minute-lane = $135/minute-lane</t>
  </si>
  <si>
    <r>
      <t>$RUC</t>
    </r>
    <r>
      <rPr>
        <vertAlign val="subscript"/>
        <sz val="10"/>
        <rFont val="Arial"/>
        <family val="2"/>
      </rPr>
      <t>CARS</t>
    </r>
    <r>
      <rPr>
        <sz val="10"/>
        <rFont val="Arial"/>
        <family val="2"/>
      </rPr>
      <t xml:space="preserve"> = $135/minute-lane</t>
    </r>
  </si>
  <si>
    <r>
      <t>$RUC</t>
    </r>
    <r>
      <rPr>
        <vertAlign val="subscript"/>
        <sz val="10"/>
        <rFont val="Arial"/>
        <family val="2"/>
      </rPr>
      <t>TRUCKS</t>
    </r>
    <r>
      <rPr>
        <sz val="10"/>
        <rFont val="Arial"/>
        <family val="2"/>
      </rPr>
      <t xml:space="preserve"> = (((60000/2)*0.10) trucks/(24 hr*60 min*3 lanes)*($59.06/truck)</t>
    </r>
  </si>
  <si>
    <r>
      <t>$RUC</t>
    </r>
    <r>
      <rPr>
        <vertAlign val="subscript"/>
        <sz val="10"/>
        <rFont val="Arial"/>
        <family val="2"/>
      </rPr>
      <t>TRUCKS</t>
    </r>
    <r>
      <rPr>
        <sz val="10"/>
        <rFont val="Arial"/>
        <family val="2"/>
      </rPr>
      <t xml:space="preserve"> = (0.69 trucks/minute-lane)*($59.06/truck)</t>
    </r>
  </si>
  <si>
    <r>
      <t>$RUC</t>
    </r>
    <r>
      <rPr>
        <vertAlign val="subscript"/>
        <sz val="10"/>
        <rFont val="Arial"/>
        <family val="2"/>
      </rPr>
      <t>TRUCKS</t>
    </r>
    <r>
      <rPr>
        <sz val="10"/>
        <rFont val="Arial"/>
        <family val="2"/>
      </rPr>
      <t xml:space="preserve"> = ($41.01/minute-lane)</t>
    </r>
  </si>
  <si>
    <t>NOTE: Round $/minute-lane down to the nearest $5; $41.01/minute-lane = $40/minute-lane</t>
  </si>
  <si>
    <r>
      <t>$RUC</t>
    </r>
    <r>
      <rPr>
        <vertAlign val="subscript"/>
        <sz val="10"/>
        <rFont val="Arial"/>
        <family val="2"/>
      </rPr>
      <t>TRUCKS</t>
    </r>
    <r>
      <rPr>
        <sz val="10"/>
        <rFont val="Arial"/>
        <family val="2"/>
      </rPr>
      <t xml:space="preserve"> = ($40/minute-lane)</t>
    </r>
  </si>
  <si>
    <r>
      <t>$RUC</t>
    </r>
    <r>
      <rPr>
        <vertAlign val="subscript"/>
        <sz val="10"/>
        <rFont val="Arial"/>
        <family val="2"/>
      </rPr>
      <t>TOTAL</t>
    </r>
    <r>
      <rPr>
        <sz val="10"/>
        <rFont val="Arial"/>
      </rPr>
      <t xml:space="preserve"> = ($135/minute-lane + $40/minute-lane</t>
    </r>
    <r>
      <rPr>
        <sz val="10"/>
        <rFont val="Arial"/>
        <family val="2"/>
      </rPr>
      <t>)*(30 minutes closed)*(1 lane closed)</t>
    </r>
  </si>
  <si>
    <r>
      <t>$RUC</t>
    </r>
    <r>
      <rPr>
        <vertAlign val="subscript"/>
        <sz val="10"/>
        <rFont val="Arial"/>
        <family val="2"/>
      </rPr>
      <t>TOTAL</t>
    </r>
    <r>
      <rPr>
        <sz val="10"/>
        <rFont val="Arial"/>
      </rPr>
      <t xml:space="preserve"> = ($175/minute-lane</t>
    </r>
    <r>
      <rPr>
        <sz val="10"/>
        <rFont val="Arial"/>
        <family val="2"/>
      </rPr>
      <t>)*(30 minutes closed)*(1 lane closed)</t>
    </r>
  </si>
  <si>
    <r>
      <t>$RUC</t>
    </r>
    <r>
      <rPr>
        <vertAlign val="subscript"/>
        <sz val="10"/>
        <rFont val="Arial"/>
        <family val="2"/>
      </rPr>
      <t>TOTAL</t>
    </r>
    <r>
      <rPr>
        <sz val="10"/>
        <rFont val="Arial"/>
      </rPr>
      <t xml:space="preserve"> = $5250</t>
    </r>
  </si>
  <si>
    <r>
      <t>Vehicles per Day</t>
    </r>
    <r>
      <rPr>
        <sz val="10"/>
        <rFont val="Arial"/>
        <family val="2"/>
      </rPr>
      <t xml:space="preserve"> (On the Directional Ramp)</t>
    </r>
    <r>
      <rPr>
        <sz val="12"/>
        <rFont val="Arial"/>
        <family val="2"/>
      </rPr>
      <t>:</t>
    </r>
  </si>
  <si>
    <r>
      <t xml:space="preserve">% Trucks </t>
    </r>
    <r>
      <rPr>
        <b/>
        <i/>
        <sz val="10"/>
        <rFont val="Arial"/>
        <family val="2"/>
      </rPr>
      <t>(On the Directional Ramp)</t>
    </r>
    <r>
      <rPr>
        <b/>
        <sz val="12"/>
        <rFont val="Arial"/>
        <family val="2"/>
      </rPr>
      <t>:</t>
    </r>
  </si>
  <si>
    <r>
      <t xml:space="preserve">Number of Lanes </t>
    </r>
    <r>
      <rPr>
        <b/>
        <i/>
        <sz val="10"/>
        <rFont val="Arial"/>
        <family val="2"/>
      </rPr>
      <t>(On the Directional Ramp)</t>
    </r>
    <r>
      <rPr>
        <b/>
        <sz val="12"/>
        <rFont val="Arial"/>
        <family val="2"/>
      </rPr>
      <t>:</t>
    </r>
  </si>
  <si>
    <r>
      <t>User Cost per Day by Vehicle Type</t>
    </r>
    <r>
      <rPr>
        <sz val="10"/>
        <rFont val="Arial"/>
        <family val="2"/>
      </rPr>
      <t xml:space="preserve"> (On the Directional Ramp)</t>
    </r>
    <r>
      <rPr>
        <sz val="12"/>
        <rFont val="Arial"/>
        <family val="2"/>
      </rPr>
      <t>:</t>
    </r>
  </si>
  <si>
    <r>
      <t>User Cost per Day</t>
    </r>
    <r>
      <rPr>
        <sz val="10"/>
        <rFont val="Arial"/>
        <family val="2"/>
      </rPr>
      <t xml:space="preserve"> (On the Directional Ramp)</t>
    </r>
    <r>
      <rPr>
        <sz val="12"/>
        <rFont val="Arial"/>
        <family val="2"/>
      </rPr>
      <t>:</t>
    </r>
  </si>
  <si>
    <r>
      <t>User Cost per Day per Lane</t>
    </r>
    <r>
      <rPr>
        <sz val="10"/>
        <rFont val="Arial"/>
        <family val="2"/>
      </rPr>
      <t xml:space="preserve"> (On the Directional Ramp)</t>
    </r>
    <r>
      <rPr>
        <sz val="12"/>
        <rFont val="Arial"/>
        <family val="2"/>
      </rPr>
      <t>:</t>
    </r>
  </si>
  <si>
    <r>
      <t>User Cost per Hour per Lane</t>
    </r>
    <r>
      <rPr>
        <sz val="10"/>
        <rFont val="Arial"/>
        <family val="2"/>
      </rPr>
      <t xml:space="preserve"> (On the Directional Ramp)</t>
    </r>
    <r>
      <rPr>
        <sz val="12"/>
        <rFont val="Arial"/>
        <family val="2"/>
      </rPr>
      <t>:</t>
    </r>
  </si>
  <si>
    <r>
      <t>User Cost per Minute per Lane</t>
    </r>
    <r>
      <rPr>
        <sz val="10"/>
        <rFont val="Arial"/>
        <family val="2"/>
      </rPr>
      <t xml:space="preserve"> (On the Directional Ramp)</t>
    </r>
    <r>
      <rPr>
        <sz val="12"/>
        <rFont val="Arial"/>
        <family val="2"/>
      </rPr>
      <t>:</t>
    </r>
  </si>
  <si>
    <t>System Ramp:</t>
  </si>
  <si>
    <t xml:space="preserve">The rounded User Cost per Minute per Lane is the MAXIMUM that may be used as a disincentive. The resulting value is to be applied to the area within the project that matches the PLCS segment used to calculate the value. </t>
  </si>
  <si>
    <t xml:space="preserve">Fill in all highlighted cells. If there is more than one system ramp impacted within the Construction Limits, each User Cost per system ramp shall be calculated seperately. System Ramp AADT and % Trucks (BC) can be found in MS2. </t>
  </si>
  <si>
    <r>
      <t>Max Disincentive per Minute per Lane</t>
    </r>
    <r>
      <rPr>
        <b/>
        <sz val="10"/>
        <rFont val="Arial"/>
        <family val="2"/>
      </rPr>
      <t xml:space="preserve"> (Directionally)</t>
    </r>
    <r>
      <rPr>
        <b/>
        <sz val="12"/>
        <rFont val="Arial"/>
        <family val="2"/>
      </rPr>
      <t>:</t>
    </r>
  </si>
  <si>
    <r>
      <t>Max Disincentive per Minute per Lane</t>
    </r>
    <r>
      <rPr>
        <b/>
        <sz val="10"/>
        <rFont val="Arial"/>
        <family val="2"/>
      </rPr>
      <t xml:space="preserve"> (On the Directional Ramp)</t>
    </r>
    <r>
      <rPr>
        <b/>
        <sz val="12"/>
        <rFont val="Arial"/>
        <family val="2"/>
      </rPr>
      <t>:</t>
    </r>
  </si>
  <si>
    <t xml:space="preserve">The rounded User Cost per Minute per Lane is the MAXIMUM that may be used as a disincentive. The resulting value is to be applied to the area within the project that matches the system ramp inputs used to calculate the value. </t>
  </si>
  <si>
    <t>NOTE: Although mainline ramps are treated as a mainline segment for Traffic Management in Work Zones Policy/Standard Procedure purposes, use this worksheet to calculate the maximum disincentive. The method is the same as the mainline worksheet; however, the AADT input is not divided by 2 to make the volumes directional on the system ramp worksheet.</t>
  </si>
  <si>
    <r>
      <t>Directional AADT</t>
    </r>
    <r>
      <rPr>
        <b/>
        <i/>
        <sz val="10"/>
        <rFont val="Arial"/>
        <family val="2"/>
      </rPr>
      <t xml:space="preserve"> (On the Directional Ramp)</t>
    </r>
    <r>
      <rPr>
        <b/>
        <sz val="12"/>
        <rFont val="Arial"/>
        <family val="2"/>
      </rPr>
      <t>:</t>
    </r>
  </si>
  <si>
    <t>WORKSHEET UNDER CONSTRUCTION; DO NOT USE YET</t>
  </si>
  <si>
    <t>Lane Closed on 2-Lane System Ramp</t>
  </si>
  <si>
    <r>
      <t>Lane(s) Closed on Mainline</t>
    </r>
    <r>
      <rPr>
        <b/>
        <i/>
        <sz val="10"/>
        <rFont val="Arial"/>
        <family val="2"/>
      </rPr>
      <t xml:space="preserve"> (Based on Matching PLCS Segment)</t>
    </r>
  </si>
  <si>
    <t xml:space="preserve">      NOTE: Segments using Calculation Method A will show 0 for AADT. Use AADT from MS2 instead for these segments.</t>
  </si>
  <si>
    <r>
      <t>Notes</t>
    </r>
    <r>
      <rPr>
        <b/>
        <i/>
        <sz val="9"/>
        <rFont val="Arial"/>
        <family val="2"/>
      </rPr>
      <t xml:space="preserve"> (description, PLCS segment reference, project phase reference, etc, as applicable)</t>
    </r>
    <r>
      <rPr>
        <b/>
        <sz val="12"/>
        <rFont val="Arial"/>
        <family val="2"/>
      </rPr>
      <t xml:space="preserve">: </t>
    </r>
  </si>
  <si>
    <r>
      <t xml:space="preserve">Notes </t>
    </r>
    <r>
      <rPr>
        <b/>
        <i/>
        <sz val="9"/>
        <rFont val="Arial"/>
        <family val="2"/>
      </rPr>
      <t>(description, detour route, project phase reference, etc, as applicable)</t>
    </r>
    <r>
      <rPr>
        <b/>
        <sz val="12"/>
        <rFont val="Arial"/>
        <family val="2"/>
      </rPr>
      <t>:</t>
    </r>
    <r>
      <rPr>
        <b/>
        <i/>
        <sz val="12"/>
        <rFont val="Arial"/>
        <family val="2"/>
      </rPr>
      <t xml:space="preserve"> </t>
    </r>
  </si>
  <si>
    <t>The annual average CPI for 2008, per the CPI, is $215.303.</t>
  </si>
  <si>
    <t xml:space="preserve">The No Lanes Closed worksheet has been removed. Since work zone speed limits are now variable the applicability of the worksheet has declined. Additionally, disincentives for violations of the variable speed limits in work zones is now covered within SS 808. If you feel you have a need for this old worksheet please contact Emily or Chris (emails below). </t>
  </si>
  <si>
    <t>Christopher.Wilson@dot.ohio.gov</t>
  </si>
  <si>
    <t>Historical Consumer Price Index for All Urban Consumers (CPI-U): U. S. city average, all items, index averages - Continued</t>
  </si>
  <si>
    <t>(See file titled "Historical CPI-U, December 20xx" for the December of the most recent year posted.)</t>
  </si>
  <si>
    <t xml:space="preserve">What cost per passenger car and cost per truck are to be used for road user costs for 2022 (project calendar year 2022)? </t>
  </si>
  <si>
    <t xml:space="preserve">NOTE: The table formerly refered to as Table 24 (for "Historical Consumer Price Index for All Urban Consumers (CPI-U): U.S. city average, all items - Continued") can be found by instead clicking the link above and then clicking on the link under December of the latest published year titled "Historical CPI-U, December 20xx". Scroll to the end of the list for the most recent update. We use the annual values rather than the monthly or semi-annual values to avoid potential volatility of the month-to month factors. </t>
  </si>
  <si>
    <t>The most recent annual average CPI published is for 2021 (as of 2/9/22). We use the 2021 annual average value for project calendar year 2022.</t>
  </si>
  <si>
    <t xml:space="preserve">The annual average CPI for 2021, per the CPI, is $270.97. </t>
  </si>
  <si>
    <t xml:space="preserve">The 2021 to 2008 ratio ($270.97/$215.303) is 1.2586. (…or the 2021 value is 25.86% higher than the 2008 value.) </t>
  </si>
  <si>
    <t>2022 Cost per Passenger Car = (2008 Cost per Passenger Car) x (2021 to 2008 Ratio) = $19.22/Passenger Car x 1.2586 = $24.19/Passenger Car</t>
  </si>
  <si>
    <t>2022 Cost per Truck = (2008 Cost per Truck) x (2021 to 2008 Ratio) = $51.88/Truck x 1.2586 = $65.29/Truck</t>
  </si>
  <si>
    <t>Year</t>
  </si>
  <si>
    <t>Year Range</t>
  </si>
  <si>
    <t>Avg %</t>
  </si>
  <si>
    <r>
      <t xml:space="preserve">% </t>
    </r>
    <r>
      <rPr>
        <sz val="9"/>
        <rFont val="Calibri"/>
        <family val="2"/>
      </rPr>
      <t>Δ</t>
    </r>
    <r>
      <rPr>
        <sz val="9"/>
        <rFont val="Calibri"/>
        <family val="2"/>
      </rPr>
      <t xml:space="preserve"> </t>
    </r>
    <r>
      <rPr>
        <sz val="6"/>
        <rFont val="Calibri"/>
        <family val="2"/>
      </rPr>
      <t>(prior 
annual avg)</t>
    </r>
  </si>
  <si>
    <t>2012-2021</t>
  </si>
  <si>
    <t>2011-2020</t>
  </si>
  <si>
    <t>2010-2019</t>
  </si>
  <si>
    <t>2009-2018</t>
  </si>
  <si>
    <t>2008-2017</t>
  </si>
  <si>
    <t>2007-2016</t>
  </si>
  <si>
    <t>2006-2015</t>
  </si>
  <si>
    <t>2001-2010</t>
  </si>
  <si>
    <t>2000-2009</t>
  </si>
  <si>
    <t>2002-2011</t>
  </si>
  <si>
    <t>2003-2012</t>
  </si>
  <si>
    <t>2004-2013</t>
  </si>
  <si>
    <t>2005-2014</t>
  </si>
  <si>
    <t>2013-2022</t>
  </si>
  <si>
    <t>2014-2023</t>
  </si>
  <si>
    <t>2015-2024</t>
  </si>
  <si>
    <t>2016-2025</t>
  </si>
  <si>
    <t>2017-2026</t>
  </si>
  <si>
    <t>2018-2027</t>
  </si>
  <si>
    <t>2019-2028</t>
  </si>
  <si>
    <t xml:space="preserve">If calculating road user costs for a future year for a project, the values can be increased by an assumed percentage to obtain a projected future value. As a rule of thumb we use 2% per year based on the recent average trends over the past decade or so (based on the values shown on the Historical CPI-U under "Percent change from previous, Annual Avg"). </t>
  </si>
  <si>
    <t>What cost per passenger car and cost per truck are to be used for road user costs for project calendar year 2025 (as of 2022)?</t>
  </si>
  <si>
    <t>2022 Cost per Passenger Car = $24.19/Passenger Car</t>
  </si>
  <si>
    <t>2018 Cost per Truck = $65.29/Truck</t>
  </si>
  <si>
    <t xml:space="preserve">Calculate or obtain the current project year values (in this example, 2022; example is above under #1). </t>
  </si>
  <si>
    <t xml:space="preserve">Project the current year values (Project Year 2022) three years forward to 2025 project year values, assuming an approximate 2% per year increase. </t>
  </si>
  <si>
    <t>2025 Cost per Passenger Car = (2022 Cost per Passenger Car) x ((1+(2% per year))^3 years) = $24.19/Passenger Car x ((1+(0.02))^3) = $25.67/Passenger Car</t>
  </si>
  <si>
    <t>2025 Cost per Truck = (2022 Cost per Truck) x ((1+(2% per year))^3 years) = $65.29/Truck x ((1+(0.02))^3) = $69.29/Truck</t>
  </si>
  <si>
    <t>Form Version Date: 2/9/2022</t>
  </si>
  <si>
    <t>Revision Date</t>
  </si>
  <si>
    <t>Description of Changes Made</t>
  </si>
  <si>
    <t>Road User Cost Spreadsheet Revision History</t>
  </si>
  <si>
    <t>Prior to 2/2/2018</t>
  </si>
  <si>
    <t xml:space="preserve">Revisions prior to 2/2/2018 are not captured here in this log. This log was added on 2/9/2022 and was back populated with data going back to the 2/2/2018 revision only. </t>
  </si>
  <si>
    <t>Information Last Updated: 2/9/2022</t>
  </si>
  <si>
    <t>Form Version Date: Prior to 2/2/2018</t>
  </si>
  <si>
    <r>
      <rPr>
        <b/>
        <sz val="10"/>
        <rFont val="Arial"/>
        <family val="2"/>
      </rPr>
      <t xml:space="preserve">CPI Data Tab: </t>
    </r>
    <r>
      <rPr>
        <sz val="10"/>
        <rFont val="Arial"/>
        <family val="2"/>
      </rPr>
      <t xml:space="preserve">
-Updated CPI data for 2017 (which is used for Project Year 2018).
-Changed future year assumed percentage increase from 3% to 2% based on the most recent annual changes reported in the CPI data over the past decade. [From 2008 to 2017 the average % change per year was: 3.8, -0.4, 1.6, 3.2, 2.1, 1.5, 1.6, 0.1, 1.3, and 2.1; 1.69% on average]
-Included future year project years up to 2030.
</t>
    </r>
    <r>
      <rPr>
        <b/>
        <sz val="10"/>
        <rFont val="Arial"/>
        <family val="2"/>
      </rPr>
      <t>FAQs Tab:</t>
    </r>
    <r>
      <rPr>
        <sz val="10"/>
        <rFont val="Arial"/>
        <family val="2"/>
      </rPr>
      <t xml:space="preserve">
-Updated email addresses.
-Clarified that the 2008 car/truck cost values were provided to ODOT from FHWA Traffic Monitoring &amp; Survey Division in early 2010. 
-Updated links to Bureau of Labor Statistics website. 
-Updated the examples to be more current and reflect the 2% future projections rather than the 3% that was used previously. </t>
    </r>
  </si>
  <si>
    <r>
      <rPr>
        <b/>
        <sz val="10"/>
        <rFont val="Arial"/>
        <family val="2"/>
      </rPr>
      <t xml:space="preserve">CPI Data Tab: </t>
    </r>
    <r>
      <rPr>
        <sz val="10"/>
        <rFont val="Arial"/>
        <family val="2"/>
      </rPr>
      <t xml:space="preserve">
-Updated CPI data for 2019 (which is used for Project Year 2020).
-Updated the reference information based on website changes that have occured on the United States Department of Labor site. 
</t>
    </r>
    <r>
      <rPr>
        <b/>
        <sz val="10"/>
        <rFont val="Arial"/>
        <family val="2"/>
      </rPr>
      <t xml:space="preserve">FAQs Tab: </t>
    </r>
    <r>
      <rPr>
        <sz val="10"/>
        <rFont val="Arial"/>
        <family val="2"/>
      </rPr>
      <t xml:space="preserve">
-Updated the reference information based on website changes that have occurred on the United States Department of Labor site. 
-Updated the contact information from Emily and Duane, to Emily and Chris. </t>
    </r>
  </si>
  <si>
    <r>
      <rPr>
        <b/>
        <sz val="10"/>
        <rFont val="Arial"/>
        <family val="2"/>
      </rPr>
      <t xml:space="preserve">Revision History Tab: </t>
    </r>
    <r>
      <rPr>
        <sz val="10"/>
        <rFont val="Arial"/>
        <family val="2"/>
      </rPr>
      <t xml:space="preserve">
-Added a new tab for Revision History and populated the revision history back to the 2/2/2018 revision update.
</t>
    </r>
    <r>
      <rPr>
        <b/>
        <sz val="10"/>
        <rFont val="Arial"/>
        <family val="2"/>
      </rPr>
      <t xml:space="preserve">CPI Data Tab: </t>
    </r>
    <r>
      <rPr>
        <sz val="10"/>
        <rFont val="Arial"/>
        <family val="2"/>
      </rPr>
      <t xml:space="preserve">
-Updated CPI data for 2020 and 2021 (which is used for Project Years 2021 and 2022).
</t>
    </r>
    <r>
      <rPr>
        <b/>
        <sz val="10"/>
        <rFont val="Arial"/>
        <family val="2"/>
      </rPr>
      <t>FAQs Tab:</t>
    </r>
    <r>
      <rPr>
        <sz val="10"/>
        <rFont val="Arial"/>
        <family val="2"/>
      </rPr>
      <t xml:space="preserve">
-Updated the examples to be more current. 
-Added data under #2 relating to trends in CPI % change from prior annual average. Calculates and shows the 10 year average % changes from prior annual average. 
</t>
    </r>
    <r>
      <rPr>
        <b/>
        <sz val="10"/>
        <rFont val="Arial"/>
        <family val="2"/>
      </rPr>
      <t xml:space="preserve">Lane(s) Closed on Mainline, Detour (Actual Drive Time), and Detour (Distance &amp; Speed) Tabs: </t>
    </r>
    <r>
      <rPr>
        <sz val="10"/>
        <rFont val="Arial"/>
        <family val="2"/>
      </rPr>
      <t xml:space="preserve">
-Added Form Revision Dates which is also viewable when printed/saved as PDF. This is to more easily detect which revision version of the form was used. The Date Calculated field remains shown and will continue to populate with the current date when using the form. </t>
    </r>
  </si>
  <si>
    <r>
      <rPr>
        <b/>
        <sz val="10"/>
        <rFont val="Arial"/>
        <family val="2"/>
      </rPr>
      <t xml:space="preserve">CPI Data Tab: </t>
    </r>
    <r>
      <rPr>
        <sz val="10"/>
        <rFont val="Arial"/>
        <family val="2"/>
      </rPr>
      <t xml:space="preserve">
-Updated CPI data for 2018 (which is used for Project Year 2019).</t>
    </r>
  </si>
  <si>
    <t>Form Version Date: xx/xx/xxxx DRAFT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</si>
</sst>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7" formatCode="&quot;$&quot;#,##0.00_);\(&quot;$&quot;#,##0.00\)"/>
    <numFmt numFmtId="44" formatCode="_(&quot;$&quot;* #,##0.00_);_(&quot;$&quot;* \(#,##0.00\);_(&quot;$&quot;* &quot;-&quot;??_);_(@_)"/>
    <numFmt numFmtId="170" formatCode="0.0"/>
    <numFmt numFmtId="171" formatCode="0.000"/>
    <numFmt numFmtId="175" formatCode="&quot;$&quot;#,##0.00"/>
    <numFmt numFmtId="178" formatCode="&quot;$&quot;#,##0"/>
    <numFmt numFmtId="179" formatCode="#,##0.0"/>
    <numFmt numFmtId="180" formatCode="[$-409]h:mm\ AM/PM;@"/>
  </numFmts>
  <fonts count="35" x14ac:knownFonts="1">
    <font>
      <sz val="10"/>
      <name val="Arial"/>
    </font>
    <font>
      <sz val="10"/>
      <name val="Arial"/>
    </font>
    <font>
      <b/>
      <sz val="10"/>
      <name val="Arial"/>
      <family val="2"/>
    </font>
    <font>
      <b/>
      <sz val="14"/>
      <name val="Arial"/>
      <family val="2"/>
    </font>
    <font>
      <b/>
      <sz val="12"/>
      <name val="Arial"/>
      <family val="2"/>
    </font>
    <font>
      <sz val="12"/>
      <name val="Arial"/>
      <family val="2"/>
    </font>
    <font>
      <u/>
      <sz val="10"/>
      <color indexed="12"/>
      <name val="Arial"/>
      <family val="2"/>
    </font>
    <font>
      <sz val="10"/>
      <name val="Arial"/>
      <family val="2"/>
    </font>
    <font>
      <sz val="10"/>
      <name val="Arial"/>
      <family val="2"/>
    </font>
    <font>
      <b/>
      <i/>
      <sz val="11"/>
      <name val="Calibri"/>
      <family val="2"/>
    </font>
    <font>
      <b/>
      <sz val="11"/>
      <name val="Calibri"/>
      <family val="2"/>
    </font>
    <font>
      <i/>
      <sz val="10"/>
      <name val="Arial"/>
      <family val="2"/>
    </font>
    <font>
      <sz val="10"/>
      <name val="Arial"/>
      <family val="2"/>
    </font>
    <font>
      <b/>
      <i/>
      <sz val="11"/>
      <name val="Calibri"/>
      <family val="2"/>
    </font>
    <font>
      <b/>
      <i/>
      <sz val="12"/>
      <name val="Arial"/>
      <family val="2"/>
    </font>
    <font>
      <b/>
      <i/>
      <sz val="10"/>
      <name val="Arial"/>
      <family val="2"/>
    </font>
    <font>
      <b/>
      <u/>
      <sz val="10"/>
      <name val="Arial"/>
      <family val="2"/>
    </font>
    <font>
      <vertAlign val="subscript"/>
      <sz val="10"/>
      <name val="Arial"/>
      <family val="2"/>
    </font>
    <font>
      <sz val="9"/>
      <color indexed="81"/>
      <name val="Tahoma"/>
      <family val="2"/>
    </font>
    <font>
      <b/>
      <sz val="9"/>
      <color indexed="81"/>
      <name val="Tahoma"/>
      <family val="2"/>
    </font>
    <font>
      <b/>
      <i/>
      <sz val="9"/>
      <name val="Arial"/>
      <family val="2"/>
    </font>
    <font>
      <sz val="6"/>
      <name val="Calibri"/>
      <family val="2"/>
    </font>
    <font>
      <sz val="9"/>
      <name val="Calibri"/>
      <family val="2"/>
    </font>
    <font>
      <sz val="9"/>
      <name val="Calibri"/>
      <family val="2"/>
    </font>
    <font>
      <i/>
      <sz val="8"/>
      <name val="Arial"/>
      <family val="2"/>
    </font>
    <font>
      <sz val="11"/>
      <name val="Calibri"/>
      <family val="2"/>
      <scheme val="minor"/>
    </font>
    <font>
      <b/>
      <i/>
      <sz val="11"/>
      <name val="Calibri"/>
      <family val="2"/>
      <scheme val="minor"/>
    </font>
    <font>
      <i/>
      <sz val="11"/>
      <name val="Calibri"/>
      <family val="2"/>
      <scheme val="minor"/>
    </font>
    <font>
      <b/>
      <sz val="11"/>
      <name val="Calibri"/>
      <family val="2"/>
      <scheme val="minor"/>
    </font>
    <font>
      <sz val="10"/>
      <color rgb="FFFF0000"/>
      <name val="Arial"/>
      <family val="2"/>
    </font>
    <font>
      <b/>
      <sz val="12"/>
      <color theme="0"/>
      <name val="Arial"/>
      <family val="2"/>
    </font>
    <font>
      <u/>
      <sz val="11"/>
      <color indexed="12"/>
      <name val="Calibri"/>
      <family val="2"/>
      <scheme val="minor"/>
    </font>
    <font>
      <sz val="9"/>
      <name val="Calibri"/>
      <family val="2"/>
      <scheme val="minor"/>
    </font>
    <font>
      <sz val="8"/>
      <name val="Calibri"/>
      <family val="2"/>
      <scheme val="minor"/>
    </font>
    <font>
      <i/>
      <sz val="10"/>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9E2A2B"/>
        <bgColor indexed="64"/>
      </patternFill>
    </fill>
    <fill>
      <patternFill patternType="solid">
        <fgColor rgb="FF00B5E2"/>
        <bgColor indexed="64"/>
      </patternFill>
    </fill>
    <fill>
      <patternFill patternType="solid">
        <fgColor rgb="FFF68D2E"/>
        <bgColor indexed="64"/>
      </patternFill>
    </fill>
    <fill>
      <patternFill patternType="solid">
        <fgColor rgb="FFDC582A"/>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9" fontId="1" fillId="0" borderId="0" applyFont="0" applyFill="0" applyBorder="0" applyAlignment="0" applyProtection="0"/>
  </cellStyleXfs>
  <cellXfs count="277">
    <xf numFmtId="0" fontId="0" fillId="0" borderId="0" xfId="0"/>
    <xf numFmtId="0" fontId="4"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4" fillId="0" borderId="4" xfId="0" applyFont="1" applyBorder="1" applyAlignment="1">
      <alignment horizontal="center"/>
    </xf>
    <xf numFmtId="0" fontId="0" fillId="0" borderId="0" xfId="0" applyAlignment="1">
      <alignment horizontal="center"/>
    </xf>
    <xf numFmtId="0" fontId="0" fillId="0" borderId="0" xfId="0" applyAlignment="1">
      <alignment horizontal="left" vertical="top"/>
    </xf>
    <xf numFmtId="0" fontId="0" fillId="0" borderId="0" xfId="0"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3" borderId="2" xfId="0" applyFill="1" applyBorder="1" applyAlignment="1">
      <alignment horizontal="center"/>
    </xf>
    <xf numFmtId="0" fontId="0" fillId="3" borderId="6" xfId="0" applyFill="1" applyBorder="1" applyAlignment="1">
      <alignment horizontal="center"/>
    </xf>
    <xf numFmtId="171" fontId="0" fillId="3" borderId="2" xfId="0" applyNumberFormat="1" applyFill="1" applyBorder="1" applyAlignment="1">
      <alignment horizontal="center"/>
    </xf>
    <xf numFmtId="170" fontId="0" fillId="3" borderId="2" xfId="0" applyNumberFormat="1" applyFill="1" applyBorder="1" applyAlignment="1">
      <alignment horizontal="center"/>
    </xf>
    <xf numFmtId="175" fontId="0" fillId="3" borderId="2" xfId="0" applyNumberFormat="1" applyFill="1" applyBorder="1" applyAlignment="1">
      <alignment horizontal="center"/>
    </xf>
    <xf numFmtId="0" fontId="0" fillId="3" borderId="2" xfId="0" applyFill="1" applyBorder="1" applyAlignment="1">
      <alignment horizontal="center" vertical="center"/>
    </xf>
    <xf numFmtId="10" fontId="7" fillId="3" borderId="2" xfId="3" applyNumberFormat="1" applyFont="1" applyFill="1" applyBorder="1" applyAlignment="1">
      <alignment horizontal="center"/>
    </xf>
    <xf numFmtId="175" fontId="0" fillId="2" borderId="2" xfId="0" applyNumberFormat="1" applyFill="1" applyBorder="1" applyAlignment="1">
      <alignment horizontal="center"/>
    </xf>
    <xf numFmtId="175" fontId="0" fillId="2" borderId="5" xfId="0" applyNumberFormat="1" applyFill="1" applyBorder="1" applyAlignment="1">
      <alignment horizontal="center"/>
    </xf>
    <xf numFmtId="175" fontId="5" fillId="0" borderId="3" xfId="0" applyNumberFormat="1" applyFont="1" applyBorder="1" applyAlignment="1">
      <alignment horizontal="center"/>
    </xf>
    <xf numFmtId="178" fontId="5" fillId="0" borderId="3" xfId="0" applyNumberFormat="1" applyFont="1" applyBorder="1" applyAlignment="1">
      <alignment horizontal="center"/>
    </xf>
    <xf numFmtId="7" fontId="5" fillId="4" borderId="3" xfId="1" applyNumberFormat="1" applyFont="1" applyFill="1" applyBorder="1" applyAlignment="1" applyProtection="1">
      <alignment horizontal="center"/>
    </xf>
    <xf numFmtId="7" fontId="5" fillId="4" borderId="2" xfId="1" applyNumberFormat="1" applyFont="1" applyFill="1" applyBorder="1" applyAlignment="1" applyProtection="1">
      <alignment horizontal="center"/>
    </xf>
    <xf numFmtId="1" fontId="5" fillId="0" borderId="2" xfId="0" applyNumberFormat="1" applyFont="1" applyBorder="1" applyAlignment="1">
      <alignment horizontal="center" vertical="center"/>
    </xf>
    <xf numFmtId="171" fontId="5" fillId="0" borderId="2" xfId="0" applyNumberFormat="1" applyFont="1" applyBorder="1" applyAlignment="1">
      <alignment horizontal="center" vertical="center"/>
    </xf>
    <xf numFmtId="0" fontId="4" fillId="0" borderId="1" xfId="0" applyFont="1" applyBorder="1" applyAlignment="1" applyProtection="1">
      <alignment horizontal="center"/>
    </xf>
    <xf numFmtId="0" fontId="4" fillId="0" borderId="4" xfId="0" applyFont="1" applyBorder="1" applyAlignment="1" applyProtection="1">
      <alignment horizontal="center"/>
    </xf>
    <xf numFmtId="1" fontId="5" fillId="0" borderId="2" xfId="0" applyNumberFormat="1" applyFont="1" applyBorder="1" applyAlignment="1" applyProtection="1">
      <alignment horizontal="center" vertical="center"/>
    </xf>
    <xf numFmtId="171" fontId="5" fillId="0" borderId="2" xfId="0" applyNumberFormat="1" applyFont="1" applyBorder="1" applyAlignment="1" applyProtection="1">
      <alignment horizontal="center" vertical="center"/>
    </xf>
    <xf numFmtId="175" fontId="5" fillId="0" borderId="3" xfId="0" applyNumberFormat="1" applyFont="1" applyBorder="1" applyAlignment="1" applyProtection="1">
      <alignment horizontal="center"/>
    </xf>
    <xf numFmtId="178" fontId="5" fillId="0" borderId="3" xfId="0" applyNumberFormat="1" applyFont="1" applyBorder="1" applyAlignment="1" applyProtection="1">
      <alignment horizontal="center"/>
    </xf>
    <xf numFmtId="0" fontId="0" fillId="0" borderId="0" xfId="0" applyProtection="1"/>
    <xf numFmtId="0" fontId="25" fillId="0" borderId="0" xfId="0" applyFont="1"/>
    <xf numFmtId="0" fontId="26" fillId="0" borderId="0" xfId="0" applyFont="1" applyAlignment="1">
      <alignment vertical="center" wrapText="1"/>
    </xf>
    <xf numFmtId="0" fontId="25" fillId="0" borderId="0" xfId="0" applyFont="1" applyAlignment="1">
      <alignment wrapText="1"/>
    </xf>
    <xf numFmtId="0" fontId="25" fillId="0" borderId="0" xfId="0" applyFont="1" applyAlignment="1">
      <alignment vertical="center"/>
    </xf>
    <xf numFmtId="0" fontId="27" fillId="0" borderId="0" xfId="0" applyFont="1" applyAlignment="1">
      <alignment vertical="center"/>
    </xf>
    <xf numFmtId="0" fontId="25" fillId="0" borderId="0" xfId="0" applyFont="1" applyAlignment="1">
      <alignment vertical="center" wrapText="1"/>
    </xf>
    <xf numFmtId="0" fontId="28" fillId="0" borderId="0" xfId="0" applyFont="1" applyAlignment="1">
      <alignment vertical="center"/>
    </xf>
    <xf numFmtId="0" fontId="27" fillId="0" borderId="0" xfId="0" applyFont="1" applyAlignment="1">
      <alignment vertical="center" wrapText="1"/>
    </xf>
    <xf numFmtId="0" fontId="26" fillId="0" borderId="0" xfId="0" applyFont="1" applyAlignment="1">
      <alignment vertical="center"/>
    </xf>
    <xf numFmtId="0" fontId="25" fillId="0" borderId="0" xfId="0" applyFont="1" applyAlignment="1"/>
    <xf numFmtId="0" fontId="25" fillId="0" borderId="0" xfId="0" applyFont="1" applyAlignment="1">
      <alignment horizontal="center"/>
    </xf>
    <xf numFmtId="0" fontId="27" fillId="0" borderId="0" xfId="0" applyFont="1" applyAlignment="1"/>
    <xf numFmtId="0" fontId="11" fillId="0" borderId="0" xfId="0" applyFont="1" applyAlignment="1">
      <alignment horizontal="left"/>
    </xf>
    <xf numFmtId="0" fontId="0" fillId="0" borderId="0" xfId="0" applyAlignment="1">
      <alignment wrapText="1"/>
    </xf>
    <xf numFmtId="0" fontId="8" fillId="0" borderId="0" xfId="0" applyFont="1"/>
    <xf numFmtId="0" fontId="8" fillId="0" borderId="0" xfId="0" applyFont="1" applyProtection="1"/>
    <xf numFmtId="14" fontId="0" fillId="0" borderId="0" xfId="0" applyNumberFormat="1" applyAlignment="1">
      <alignment horizontal="left" wrapText="1"/>
    </xf>
    <xf numFmtId="0" fontId="25" fillId="0" borderId="0" xfId="0" applyFont="1" applyAlignment="1">
      <alignment vertical="center" wrapText="1"/>
    </xf>
    <xf numFmtId="0" fontId="26" fillId="0" borderId="0" xfId="0" applyFont="1" applyAlignment="1">
      <alignment vertical="center" wrapText="1"/>
    </xf>
    <xf numFmtId="0" fontId="25" fillId="0" borderId="0" xfId="0" applyFont="1" applyAlignment="1">
      <alignment wrapText="1"/>
    </xf>
    <xf numFmtId="10" fontId="12" fillId="3" borderId="2" xfId="3" applyNumberFormat="1" applyFont="1" applyFill="1" applyBorder="1" applyAlignment="1">
      <alignment horizontal="center"/>
    </xf>
    <xf numFmtId="10" fontId="0" fillId="0" borderId="0" xfId="0" applyNumberFormat="1"/>
    <xf numFmtId="0" fontId="0" fillId="0" borderId="0" xfId="0" applyAlignment="1">
      <alignment horizontal="left"/>
    </xf>
    <xf numFmtId="0" fontId="6" fillId="0" borderId="0" xfId="2" applyAlignment="1" applyProtection="1">
      <alignment horizontal="left"/>
    </xf>
    <xf numFmtId="0" fontId="7" fillId="0" borderId="0" xfId="0" applyFont="1"/>
    <xf numFmtId="0" fontId="2" fillId="5" borderId="3" xfId="0" applyFont="1" applyFill="1" applyBorder="1" applyAlignment="1" applyProtection="1">
      <alignment horizontal="center"/>
    </xf>
    <xf numFmtId="0" fontId="2" fillId="5" borderId="2" xfId="0" applyFont="1" applyFill="1" applyBorder="1" applyAlignment="1" applyProtection="1">
      <alignment horizontal="center"/>
    </xf>
    <xf numFmtId="3" fontId="5" fillId="0" borderId="3" xfId="0" applyNumberFormat="1" applyFont="1" applyBorder="1" applyAlignment="1" applyProtection="1">
      <alignment horizontal="center"/>
    </xf>
    <xf numFmtId="3" fontId="5" fillId="0" borderId="2" xfId="0" applyNumberFormat="1" applyFont="1" applyBorder="1" applyAlignment="1" applyProtection="1">
      <alignment horizontal="center"/>
    </xf>
    <xf numFmtId="0" fontId="4" fillId="0" borderId="0" xfId="0" applyFont="1" applyFill="1" applyBorder="1" applyAlignment="1" applyProtection="1">
      <alignment horizontal="right"/>
    </xf>
    <xf numFmtId="5" fontId="4" fillId="0" borderId="0" xfId="1" applyNumberFormat="1" applyFont="1" applyFill="1" applyBorder="1" applyAlignment="1" applyProtection="1">
      <alignment horizontal="center"/>
    </xf>
    <xf numFmtId="0" fontId="7" fillId="0" borderId="0" xfId="0" applyFont="1" applyFill="1"/>
    <xf numFmtId="0" fontId="0" fillId="0" borderId="0" xfId="0" applyFill="1"/>
    <xf numFmtId="0" fontId="25" fillId="0" borderId="0" xfId="0" applyFont="1" applyAlignment="1">
      <alignment horizontal="left" wrapText="1"/>
    </xf>
    <xf numFmtId="0" fontId="25" fillId="0" borderId="0" xfId="0" applyFont="1" applyAlignment="1">
      <alignment vertical="center"/>
    </xf>
    <xf numFmtId="0" fontId="7" fillId="0" borderId="0" xfId="0" applyFont="1" applyProtection="1"/>
    <xf numFmtId="0" fontId="7" fillId="0" borderId="0" xfId="0" applyFont="1" applyFill="1" applyProtection="1"/>
    <xf numFmtId="0" fontId="0" fillId="0" borderId="0" xfId="0" applyFill="1" applyProtection="1"/>
    <xf numFmtId="0" fontId="0" fillId="0" borderId="0" xfId="0" applyAlignment="1" applyProtection="1">
      <alignment wrapText="1"/>
    </xf>
    <xf numFmtId="14" fontId="0" fillId="0" borderId="0" xfId="0" applyNumberFormat="1" applyAlignment="1" applyProtection="1">
      <alignment horizontal="left" wrapText="1"/>
    </xf>
    <xf numFmtId="0" fontId="5" fillId="0" borderId="0" xfId="0" applyFont="1" applyProtection="1"/>
    <xf numFmtId="0" fontId="28" fillId="0" borderId="0" xfId="0" applyFont="1" applyAlignment="1">
      <alignment vertical="center" wrapText="1"/>
    </xf>
    <xf numFmtId="0" fontId="9" fillId="0" borderId="0" xfId="0" applyFont="1" applyAlignment="1">
      <alignment vertical="center"/>
    </xf>
    <xf numFmtId="0" fontId="16" fillId="0" borderId="0" xfId="0" applyFont="1"/>
    <xf numFmtId="0" fontId="7" fillId="0" borderId="0" xfId="0" quotePrefix="1" applyFont="1" applyProtection="1"/>
    <xf numFmtId="0" fontId="7" fillId="0" borderId="0" xfId="0" applyFont="1" applyBorder="1"/>
    <xf numFmtId="0" fontId="0" fillId="0" borderId="0" xfId="0" applyBorder="1"/>
    <xf numFmtId="0" fontId="25" fillId="0" borderId="0" xfId="0" applyFont="1" applyAlignment="1">
      <alignment wrapText="1"/>
    </xf>
    <xf numFmtId="7" fontId="5" fillId="4" borderId="3" xfId="1" applyNumberFormat="1" applyFont="1" applyFill="1" applyBorder="1" applyAlignment="1" applyProtection="1">
      <alignment horizontal="center"/>
    </xf>
    <xf numFmtId="0" fontId="29" fillId="0" borderId="0" xfId="0" applyFont="1"/>
    <xf numFmtId="0" fontId="7" fillId="0" borderId="0" xfId="0" applyFont="1" applyAlignment="1">
      <alignment horizontal="left" vertical="top" wrapText="1"/>
    </xf>
    <xf numFmtId="0" fontId="11" fillId="0" borderId="0" xfId="0" applyFont="1"/>
    <xf numFmtId="3" fontId="30" fillId="6" borderId="3" xfId="0" applyNumberFormat="1" applyFont="1" applyFill="1" applyBorder="1" applyAlignment="1" applyProtection="1">
      <alignment horizontal="center" vertical="center"/>
      <protection locked="0"/>
    </xf>
    <xf numFmtId="3" fontId="30" fillId="6" borderId="2" xfId="0" applyNumberFormat="1" applyFont="1" applyFill="1" applyBorder="1" applyAlignment="1" applyProtection="1">
      <alignment horizontal="center" vertical="center"/>
      <protection locked="0"/>
    </xf>
    <xf numFmtId="179" fontId="30" fillId="6" borderId="2" xfId="0" applyNumberFormat="1" applyFont="1" applyFill="1" applyBorder="1" applyAlignment="1" applyProtection="1">
      <alignment horizontal="center"/>
      <protection locked="0"/>
    </xf>
    <xf numFmtId="3" fontId="4" fillId="7" borderId="3" xfId="0" applyNumberFormat="1" applyFont="1" applyFill="1" applyBorder="1" applyAlignment="1" applyProtection="1">
      <alignment horizontal="center" vertical="center"/>
      <protection locked="0"/>
    </xf>
    <xf numFmtId="3" fontId="4" fillId="7" borderId="2" xfId="0" applyNumberFormat="1" applyFont="1" applyFill="1" applyBorder="1" applyAlignment="1" applyProtection="1">
      <alignment horizontal="center" vertical="center"/>
      <protection locked="0"/>
    </xf>
    <xf numFmtId="0" fontId="0" fillId="2" borderId="8" xfId="0" applyFill="1" applyBorder="1" applyAlignment="1">
      <alignment horizontal="center" vertical="center"/>
    </xf>
    <xf numFmtId="175" fontId="0" fillId="2" borderId="9" xfId="0" applyNumberFormat="1" applyFill="1" applyBorder="1" applyAlignment="1">
      <alignment horizontal="center"/>
    </xf>
    <xf numFmtId="0" fontId="0" fillId="2" borderId="9" xfId="0" applyFill="1" applyBorder="1" applyAlignment="1">
      <alignment horizontal="center" vertical="center"/>
    </xf>
    <xf numFmtId="0" fontId="0" fillId="2" borderId="9" xfId="0" applyFill="1" applyBorder="1" applyAlignment="1">
      <alignment horizontal="center" vertical="top"/>
    </xf>
    <xf numFmtId="0" fontId="0" fillId="2" borderId="2" xfId="0" applyFill="1" applyBorder="1" applyAlignment="1">
      <alignment horizontal="center" vertical="top"/>
    </xf>
    <xf numFmtId="0" fontId="0" fillId="2" borderId="5" xfId="0" applyFill="1" applyBorder="1" applyAlignment="1">
      <alignment horizontal="center" vertical="top"/>
    </xf>
    <xf numFmtId="10" fontId="0" fillId="2" borderId="9" xfId="0" applyNumberFormat="1" applyFill="1" applyBorder="1" applyAlignment="1">
      <alignment horizontal="center" vertical="top"/>
    </xf>
    <xf numFmtId="10" fontId="0" fillId="2" borderId="2" xfId="0" applyNumberFormat="1" applyFill="1" applyBorder="1" applyAlignment="1">
      <alignment horizontal="center" vertical="top"/>
    </xf>
    <xf numFmtId="10" fontId="0" fillId="2" borderId="5" xfId="0" applyNumberFormat="1" applyFill="1" applyBorder="1" applyAlignment="1">
      <alignment horizontal="center" vertical="top"/>
    </xf>
    <xf numFmtId="0" fontId="25" fillId="0" borderId="0" xfId="0" applyFont="1" applyAlignment="1">
      <alignment wrapText="1"/>
    </xf>
    <xf numFmtId="0" fontId="28" fillId="0" borderId="0" xfId="0" applyFont="1" applyAlignment="1">
      <alignment vertical="center"/>
    </xf>
    <xf numFmtId="0" fontId="25" fillId="0" borderId="0" xfId="0" applyFont="1" applyAlignment="1">
      <alignment vertical="center"/>
    </xf>
    <xf numFmtId="0" fontId="0" fillId="3" borderId="10" xfId="0" applyFill="1" applyBorder="1" applyAlignment="1">
      <alignment horizontal="center" vertical="center"/>
    </xf>
    <xf numFmtId="0" fontId="0" fillId="3" borderId="11" xfId="0" applyFill="1" applyBorder="1" applyAlignment="1">
      <alignment horizontal="center" vertical="top"/>
    </xf>
    <xf numFmtId="10" fontId="0" fillId="3" borderId="11" xfId="0" applyNumberFormat="1" applyFill="1" applyBorder="1" applyAlignment="1">
      <alignment horizontal="center" vertical="top"/>
    </xf>
    <xf numFmtId="175" fontId="0" fillId="3" borderId="11" xfId="0" applyNumberFormat="1" applyFill="1" applyBorder="1" applyAlignment="1">
      <alignment horizontal="center"/>
    </xf>
    <xf numFmtId="0" fontId="0" fillId="3" borderId="11"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top"/>
    </xf>
    <xf numFmtId="10" fontId="0" fillId="3" borderId="5" xfId="0" applyNumberFormat="1" applyFill="1" applyBorder="1" applyAlignment="1">
      <alignment horizontal="center" vertical="top"/>
    </xf>
    <xf numFmtId="175" fontId="0" fillId="3" borderId="5" xfId="0" applyNumberFormat="1" applyFill="1" applyBorder="1" applyAlignment="1">
      <alignment horizontal="center"/>
    </xf>
    <xf numFmtId="0" fontId="0" fillId="3" borderId="5" xfId="0" applyFill="1" applyBorder="1" applyAlignment="1">
      <alignment horizontal="center" vertical="center"/>
    </xf>
    <xf numFmtId="10" fontId="0" fillId="0" borderId="0" xfId="0" applyNumberFormat="1" applyAlignment="1">
      <alignment horizontal="left" vertical="top"/>
    </xf>
    <xf numFmtId="0" fontId="7" fillId="0" borderId="0" xfId="0" applyFont="1" applyAlignment="1">
      <alignment horizontal="left" vertical="top"/>
    </xf>
    <xf numFmtId="0" fontId="25" fillId="0" borderId="0" xfId="0" applyFont="1" applyFill="1" applyAlignment="1">
      <alignment vertical="center" wrapText="1"/>
    </xf>
    <xf numFmtId="0" fontId="0" fillId="3" borderId="8" xfId="0" applyFill="1" applyBorder="1" applyAlignment="1">
      <alignment horizontal="center" vertical="center"/>
    </xf>
    <xf numFmtId="0" fontId="0" fillId="3" borderId="9" xfId="0" applyFill="1" applyBorder="1" applyAlignment="1">
      <alignment horizontal="center" vertical="top"/>
    </xf>
    <xf numFmtId="10" fontId="0" fillId="3" borderId="9" xfId="0" applyNumberFormat="1" applyFill="1" applyBorder="1" applyAlignment="1">
      <alignment horizontal="center" vertical="top"/>
    </xf>
    <xf numFmtId="175" fontId="0" fillId="3" borderId="9" xfId="0" applyNumberFormat="1" applyFill="1" applyBorder="1" applyAlignment="1">
      <alignment horizontal="center"/>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top"/>
    </xf>
    <xf numFmtId="10" fontId="0" fillId="3" borderId="2" xfId="0" applyNumberFormat="1" applyFill="1" applyBorder="1" applyAlignment="1">
      <alignment horizontal="center" vertical="top"/>
    </xf>
    <xf numFmtId="0" fontId="32" fillId="0" borderId="0" xfId="0" applyFont="1" applyAlignment="1">
      <alignment horizontal="center" vertical="center"/>
    </xf>
    <xf numFmtId="0" fontId="32" fillId="0" borderId="0" xfId="0" applyFont="1" applyAlignment="1">
      <alignment horizontal="center" vertical="center" wrapText="1"/>
    </xf>
    <xf numFmtId="0" fontId="32" fillId="0" borderId="0" xfId="0" applyFont="1" applyAlignment="1">
      <alignment vertical="center"/>
    </xf>
    <xf numFmtId="0" fontId="33" fillId="0" borderId="0" xfId="0" applyFont="1" applyAlignment="1">
      <alignment horizontal="center" vertical="center"/>
    </xf>
    <xf numFmtId="0" fontId="24" fillId="0" borderId="0" xfId="0" applyFont="1" applyAlignment="1">
      <alignment horizontal="right"/>
    </xf>
    <xf numFmtId="5" fontId="24" fillId="0" borderId="0" xfId="1" applyNumberFormat="1" applyFont="1" applyFill="1" applyBorder="1" applyAlignment="1" applyProtection="1">
      <alignment horizontal="right" vertical="top"/>
    </xf>
    <xf numFmtId="0" fontId="24" fillId="0" borderId="0" xfId="0" applyFont="1" applyAlignment="1" applyProtection="1">
      <alignment horizontal="right" vertical="top"/>
    </xf>
    <xf numFmtId="0" fontId="2" fillId="0" borderId="0" xfId="0" applyFont="1"/>
    <xf numFmtId="0" fontId="2" fillId="0" borderId="0" xfId="0" applyFont="1" applyAlignment="1">
      <alignment horizontal="left" vertical="top"/>
    </xf>
    <xf numFmtId="0" fontId="2" fillId="0" borderId="0" xfId="0" applyFont="1" applyAlignment="1">
      <alignment vertical="top"/>
    </xf>
    <xf numFmtId="14" fontId="7" fillId="0" borderId="2" xfId="0" applyNumberFormat="1" applyFont="1" applyBorder="1" applyAlignment="1">
      <alignment horizontal="center" vertical="top"/>
    </xf>
    <xf numFmtId="0" fontId="7" fillId="0" borderId="2" xfId="0" applyFont="1" applyBorder="1" applyAlignment="1">
      <alignment vertical="top" wrapText="1"/>
    </xf>
    <xf numFmtId="14" fontId="7" fillId="0" borderId="2" xfId="0" applyNumberFormat="1" applyFont="1" applyFill="1" applyBorder="1" applyAlignment="1">
      <alignment horizontal="center" vertical="top"/>
    </xf>
    <xf numFmtId="14" fontId="7" fillId="0" borderId="2" xfId="0" applyNumberFormat="1" applyFont="1" applyFill="1" applyBorder="1" applyAlignment="1">
      <alignment horizontal="center" vertical="top" wrapText="1"/>
    </xf>
    <xf numFmtId="0" fontId="7" fillId="0" borderId="2" xfId="0" applyFont="1" applyFill="1" applyBorder="1" applyAlignment="1">
      <alignment vertical="top" wrapText="1"/>
    </xf>
    <xf numFmtId="0" fontId="2" fillId="0" borderId="0" xfId="0" applyFont="1" applyAlignment="1">
      <alignment vertical="top" wrapText="1"/>
    </xf>
    <xf numFmtId="0" fontId="2" fillId="5" borderId="2" xfId="0" applyFont="1" applyFill="1" applyBorder="1" applyAlignment="1">
      <alignment horizontal="center" vertical="top"/>
    </xf>
    <xf numFmtId="0" fontId="2" fillId="5" borderId="2" xfId="0" applyFont="1" applyFill="1" applyBorder="1" applyAlignment="1">
      <alignment vertical="top" wrapText="1"/>
    </xf>
    <xf numFmtId="0" fontId="7" fillId="0" borderId="0" xfId="0" applyFont="1" applyAlignment="1">
      <alignment horizontal="center" vertical="top"/>
    </xf>
    <xf numFmtId="0" fontId="7" fillId="0" borderId="0" xfId="0" applyFont="1" applyAlignment="1">
      <alignment vertical="top" wrapText="1"/>
    </xf>
    <xf numFmtId="0" fontId="34" fillId="0" borderId="0" xfId="0" applyFont="1" applyAlignment="1"/>
    <xf numFmtId="0" fontId="11" fillId="0" borderId="0" xfId="0" applyFont="1" applyAlignment="1">
      <alignment horizontal="left" vertical="top"/>
    </xf>
    <xf numFmtId="178" fontId="4" fillId="0" borderId="2" xfId="0" applyNumberFormat="1" applyFont="1" applyBorder="1" applyAlignment="1">
      <alignment horizontal="center"/>
    </xf>
    <xf numFmtId="0" fontId="5" fillId="0" borderId="14" xfId="0" applyFont="1" applyBorder="1" applyAlignment="1">
      <alignment horizontal="right"/>
    </xf>
    <xf numFmtId="0" fontId="5" fillId="0" borderId="15" xfId="0" applyFont="1" applyBorder="1" applyAlignment="1">
      <alignment horizontal="right"/>
    </xf>
    <xf numFmtId="0" fontId="4" fillId="0" borderId="18" xfId="0" applyFont="1" applyFill="1" applyBorder="1" applyAlignment="1" applyProtection="1">
      <alignment horizontal="right"/>
    </xf>
    <xf numFmtId="0" fontId="4" fillId="0" borderId="3" xfId="0" applyFont="1" applyFill="1" applyBorder="1" applyAlignment="1" applyProtection="1">
      <alignment horizontal="right"/>
    </xf>
    <xf numFmtId="0" fontId="4" fillId="7" borderId="18" xfId="0" applyFont="1" applyFill="1" applyBorder="1" applyAlignment="1" applyProtection="1">
      <alignment horizontal="center"/>
      <protection locked="0"/>
    </xf>
    <xf numFmtId="0" fontId="4" fillId="7" borderId="3" xfId="0" applyFont="1" applyFill="1" applyBorder="1" applyAlignment="1" applyProtection="1">
      <alignment horizontal="center"/>
      <protection locked="0"/>
    </xf>
    <xf numFmtId="14" fontId="2" fillId="0" borderId="18" xfId="0" applyNumberFormat="1" applyFont="1" applyBorder="1" applyAlignment="1">
      <alignment horizontal="center" vertical="center"/>
    </xf>
    <xf numFmtId="14" fontId="2" fillId="0" borderId="17" xfId="0" applyNumberFormat="1" applyFont="1" applyBorder="1" applyAlignment="1">
      <alignment horizontal="center" vertical="center"/>
    </xf>
    <xf numFmtId="14" fontId="2" fillId="0" borderId="3" xfId="0" applyNumberFormat="1" applyFont="1" applyBorder="1" applyAlignment="1">
      <alignment horizontal="center" vertical="center"/>
    </xf>
    <xf numFmtId="179" fontId="4" fillId="7" borderId="18" xfId="0" applyNumberFormat="1" applyFont="1" applyFill="1" applyBorder="1" applyAlignment="1" applyProtection="1">
      <alignment horizontal="center"/>
      <protection locked="0"/>
    </xf>
    <xf numFmtId="179" fontId="4" fillId="7" borderId="3" xfId="0" applyNumberFormat="1" applyFont="1" applyFill="1" applyBorder="1" applyAlignment="1" applyProtection="1">
      <alignment horizontal="center"/>
      <protection locked="0"/>
    </xf>
    <xf numFmtId="0" fontId="4" fillId="0" borderId="14" xfId="0" applyFont="1" applyBorder="1" applyAlignment="1">
      <alignment horizontal="right"/>
    </xf>
    <xf numFmtId="0" fontId="4" fillId="0" borderId="15" xfId="0" applyFont="1" applyBorder="1" applyAlignment="1">
      <alignment horizontal="right"/>
    </xf>
    <xf numFmtId="0" fontId="4" fillId="0" borderId="12" xfId="0" applyFont="1" applyBorder="1" applyAlignment="1">
      <alignment horizontal="right"/>
    </xf>
    <xf numFmtId="0" fontId="4" fillId="0" borderId="13" xfId="0" applyFont="1" applyBorder="1" applyAlignment="1">
      <alignment horizontal="right"/>
    </xf>
    <xf numFmtId="3" fontId="4" fillId="7" borderId="18" xfId="0" applyNumberFormat="1" applyFont="1" applyFill="1" applyBorder="1" applyAlignment="1" applyProtection="1">
      <alignment horizontal="center"/>
      <protection locked="0"/>
    </xf>
    <xf numFmtId="3" fontId="4" fillId="7" borderId="3" xfId="0" applyNumberFormat="1" applyFont="1" applyFill="1" applyBorder="1" applyAlignment="1" applyProtection="1">
      <alignment horizontal="center"/>
      <protection locked="0"/>
    </xf>
    <xf numFmtId="0" fontId="4" fillId="0" borderId="14" xfId="0" applyFont="1" applyFill="1" applyBorder="1" applyAlignment="1">
      <alignment horizontal="right"/>
    </xf>
    <xf numFmtId="0" fontId="4" fillId="0" borderId="15" xfId="0" applyFont="1" applyFill="1" applyBorder="1" applyAlignment="1">
      <alignment horizontal="right"/>
    </xf>
    <xf numFmtId="0" fontId="3" fillId="0" borderId="2" xfId="0" applyFont="1" applyBorder="1" applyAlignment="1">
      <alignment horizontal="center"/>
    </xf>
    <xf numFmtId="0" fontId="4" fillId="0" borderId="18" xfId="0" applyFont="1" applyBorder="1" applyAlignment="1">
      <alignment horizontal="center"/>
    </xf>
    <xf numFmtId="0" fontId="4" fillId="0" borderId="17" xfId="0" applyFont="1" applyBorder="1" applyAlignment="1">
      <alignment horizontal="center"/>
    </xf>
    <xf numFmtId="0" fontId="4" fillId="0" borderId="3" xfId="0" applyFont="1" applyBorder="1" applyAlignment="1">
      <alignment horizontal="center"/>
    </xf>
    <xf numFmtId="0" fontId="5" fillId="0" borderId="1" xfId="0" applyFont="1" applyBorder="1" applyAlignment="1">
      <alignment horizontal="right"/>
    </xf>
    <xf numFmtId="0" fontId="5" fillId="0" borderId="4" xfId="0" applyFont="1" applyBorder="1" applyAlignment="1">
      <alignment horizontal="right"/>
    </xf>
    <xf numFmtId="0" fontId="4" fillId="0" borderId="1" xfId="0" applyFont="1" applyBorder="1" applyAlignment="1">
      <alignment horizontal="center"/>
    </xf>
    <xf numFmtId="0" fontId="4" fillId="0" borderId="16" xfId="0" applyFont="1" applyBorder="1" applyAlignment="1">
      <alignment horizontal="center"/>
    </xf>
    <xf numFmtId="0" fontId="3" fillId="5" borderId="2" xfId="0" applyFont="1" applyFill="1" applyBorder="1" applyAlignment="1">
      <alignment horizontal="center"/>
    </xf>
    <xf numFmtId="14" fontId="4" fillId="5" borderId="18" xfId="0" applyNumberFormat="1" applyFont="1" applyFill="1" applyBorder="1" applyAlignment="1">
      <alignment horizontal="center" vertical="center"/>
    </xf>
    <xf numFmtId="14" fontId="4" fillId="5" borderId="17" xfId="0" applyNumberFormat="1" applyFont="1" applyFill="1" applyBorder="1" applyAlignment="1">
      <alignment horizontal="center" vertical="center"/>
    </xf>
    <xf numFmtId="14" fontId="4" fillId="5" borderId="3" xfId="0" applyNumberFormat="1" applyFont="1" applyFill="1" applyBorder="1" applyAlignment="1">
      <alignment horizontal="center" vertical="center"/>
    </xf>
    <xf numFmtId="0" fontId="4" fillId="8" borderId="18" xfId="0" applyFont="1" applyFill="1" applyBorder="1" applyAlignment="1" applyProtection="1">
      <alignment horizontal="center"/>
      <protection locked="0"/>
    </xf>
    <xf numFmtId="0" fontId="4" fillId="8" borderId="3" xfId="0" applyFont="1" applyFill="1" applyBorder="1" applyAlignment="1" applyProtection="1">
      <alignment horizontal="center"/>
      <protection locked="0"/>
    </xf>
    <xf numFmtId="0" fontId="4" fillId="5" borderId="18" xfId="0" applyFont="1" applyFill="1" applyBorder="1" applyAlignment="1">
      <alignment horizontal="center"/>
    </xf>
    <xf numFmtId="0" fontId="4" fillId="5" borderId="17" xfId="0" applyFont="1" applyFill="1" applyBorder="1" applyAlignment="1">
      <alignment horizontal="center"/>
    </xf>
    <xf numFmtId="0" fontId="4" fillId="5" borderId="3" xfId="0" applyFont="1" applyFill="1" applyBorder="1" applyAlignment="1">
      <alignment horizontal="center"/>
    </xf>
    <xf numFmtId="0" fontId="4" fillId="0" borderId="18" xfId="0" applyFont="1" applyBorder="1" applyAlignment="1">
      <alignment horizontal="right"/>
    </xf>
    <xf numFmtId="0" fontId="4" fillId="0" borderId="3" xfId="0" applyFont="1" applyBorder="1" applyAlignment="1">
      <alignment horizontal="right"/>
    </xf>
    <xf numFmtId="3" fontId="4" fillId="8" borderId="18" xfId="0" applyNumberFormat="1" applyFont="1" applyFill="1" applyBorder="1" applyAlignment="1" applyProtection="1">
      <alignment horizontal="center" vertical="center"/>
      <protection locked="0"/>
    </xf>
    <xf numFmtId="3" fontId="4" fillId="8" borderId="3" xfId="0" applyNumberFormat="1" applyFont="1" applyFill="1" applyBorder="1" applyAlignment="1" applyProtection="1">
      <alignment horizontal="center" vertical="center"/>
      <protection locked="0"/>
    </xf>
    <xf numFmtId="9" fontId="4" fillId="8" borderId="18" xfId="0" applyNumberFormat="1" applyFont="1" applyFill="1" applyBorder="1" applyAlignment="1" applyProtection="1">
      <alignment horizontal="center" vertical="center"/>
      <protection locked="0"/>
    </xf>
    <xf numFmtId="9" fontId="4" fillId="8" borderId="3" xfId="0" applyNumberFormat="1" applyFont="1" applyFill="1" applyBorder="1" applyAlignment="1" applyProtection="1">
      <alignment horizontal="center" vertical="center"/>
      <protection locked="0"/>
    </xf>
    <xf numFmtId="0" fontId="5" fillId="0" borderId="14" xfId="0" applyFont="1" applyBorder="1" applyAlignment="1" applyProtection="1">
      <alignment horizontal="right"/>
    </xf>
    <xf numFmtId="0" fontId="5" fillId="0" borderId="15" xfId="0" applyFont="1" applyBorder="1" applyAlignment="1" applyProtection="1">
      <alignment horizontal="right"/>
    </xf>
    <xf numFmtId="0" fontId="4" fillId="5" borderId="1" xfId="0" applyFont="1" applyFill="1" applyBorder="1" applyAlignment="1" applyProtection="1">
      <alignment horizontal="center"/>
    </xf>
    <xf numFmtId="0" fontId="4" fillId="5" borderId="16" xfId="0" applyFont="1" applyFill="1" applyBorder="1" applyAlignment="1" applyProtection="1">
      <alignment horizontal="center"/>
    </xf>
    <xf numFmtId="0" fontId="4" fillId="5" borderId="17" xfId="0" applyFont="1" applyFill="1" applyBorder="1" applyAlignment="1" applyProtection="1">
      <alignment horizontal="center"/>
    </xf>
    <xf numFmtId="0" fontId="4" fillId="5" borderId="3" xfId="0" applyFont="1" applyFill="1" applyBorder="1" applyAlignment="1" applyProtection="1">
      <alignment horizontal="center"/>
    </xf>
    <xf numFmtId="0" fontId="5" fillId="0" borderId="1" xfId="0" applyFont="1" applyBorder="1" applyAlignment="1" applyProtection="1">
      <alignment horizontal="right"/>
    </xf>
    <xf numFmtId="0" fontId="5" fillId="0" borderId="4" xfId="0" applyFont="1" applyBorder="1" applyAlignment="1" applyProtection="1">
      <alignment horizontal="right"/>
    </xf>
    <xf numFmtId="0" fontId="4" fillId="5" borderId="18" xfId="0" applyFont="1" applyFill="1" applyBorder="1" applyAlignment="1" applyProtection="1">
      <alignment horizontal="center"/>
    </xf>
    <xf numFmtId="0" fontId="7" fillId="0" borderId="0" xfId="0" quotePrefix="1" applyFont="1" applyAlignment="1">
      <alignment horizontal="left" vertical="top" wrapText="1"/>
    </xf>
    <xf numFmtId="0" fontId="7" fillId="0" borderId="0" xfId="0" applyFont="1" applyAlignment="1">
      <alignment horizontal="left" vertical="top" wrapText="1"/>
    </xf>
    <xf numFmtId="7" fontId="5" fillId="4" borderId="18" xfId="1" applyNumberFormat="1" applyFont="1" applyFill="1" applyBorder="1" applyAlignment="1" applyProtection="1">
      <alignment horizontal="center"/>
    </xf>
    <xf numFmtId="7" fontId="5" fillId="4" borderId="3" xfId="1" applyNumberFormat="1" applyFont="1" applyFill="1" applyBorder="1" applyAlignment="1" applyProtection="1">
      <alignment horizontal="center"/>
    </xf>
    <xf numFmtId="0" fontId="4" fillId="5" borderId="18" xfId="0" applyFont="1" applyFill="1" applyBorder="1" applyAlignment="1" applyProtection="1">
      <alignment horizontal="right"/>
    </xf>
    <xf numFmtId="0" fontId="4" fillId="5" borderId="3" xfId="0" applyFont="1" applyFill="1" applyBorder="1" applyAlignment="1" applyProtection="1">
      <alignment horizontal="right"/>
    </xf>
    <xf numFmtId="5" fontId="4" fillId="5" borderId="18" xfId="1" applyNumberFormat="1" applyFont="1" applyFill="1" applyBorder="1" applyAlignment="1" applyProtection="1">
      <alignment horizontal="center"/>
    </xf>
    <xf numFmtId="5" fontId="4" fillId="5" borderId="3" xfId="1" applyNumberFormat="1" applyFont="1" applyFill="1" applyBorder="1" applyAlignment="1" applyProtection="1">
      <alignment horizontal="center"/>
    </xf>
    <xf numFmtId="0" fontId="7" fillId="4" borderId="2" xfId="0" applyFont="1" applyFill="1" applyBorder="1" applyAlignment="1" applyProtection="1">
      <alignment horizontal="left" vertical="top" wrapText="1"/>
      <protection locked="0"/>
    </xf>
    <xf numFmtId="0" fontId="4" fillId="0" borderId="14" xfId="0" applyFont="1" applyBorder="1" applyAlignment="1" applyProtection="1">
      <alignment horizontal="right"/>
    </xf>
    <xf numFmtId="0" fontId="4" fillId="0" borderId="15" xfId="0" applyFont="1" applyBorder="1" applyAlignment="1" applyProtection="1">
      <alignment horizontal="right"/>
    </xf>
    <xf numFmtId="180" fontId="4" fillId="8" borderId="1" xfId="0" applyNumberFormat="1" applyFont="1" applyFill="1" applyBorder="1" applyAlignment="1" applyProtection="1">
      <alignment horizontal="center" vertical="center"/>
      <protection locked="0"/>
    </xf>
    <xf numFmtId="180" fontId="4" fillId="8" borderId="4" xfId="0" applyNumberFormat="1" applyFont="1" applyFill="1" applyBorder="1" applyAlignment="1" applyProtection="1">
      <alignment horizontal="center" vertical="center"/>
      <protection locked="0"/>
    </xf>
    <xf numFmtId="0" fontId="3" fillId="5" borderId="2" xfId="0" applyFont="1" applyFill="1" applyBorder="1" applyAlignment="1" applyProtection="1">
      <alignment horizontal="center"/>
    </xf>
    <xf numFmtId="14" fontId="4" fillId="5" borderId="18" xfId="0" applyNumberFormat="1" applyFont="1" applyFill="1" applyBorder="1" applyAlignment="1" applyProtection="1">
      <alignment horizontal="center" vertical="center"/>
    </xf>
    <xf numFmtId="14" fontId="4" fillId="5" borderId="17" xfId="0" applyNumberFormat="1" applyFont="1" applyFill="1" applyBorder="1" applyAlignment="1" applyProtection="1">
      <alignment horizontal="center" vertical="center"/>
    </xf>
    <xf numFmtId="14" fontId="4" fillId="5" borderId="3" xfId="0" applyNumberFormat="1" applyFont="1" applyFill="1" applyBorder="1" applyAlignment="1" applyProtection="1">
      <alignment horizontal="center" vertical="center"/>
    </xf>
    <xf numFmtId="0" fontId="7" fillId="0" borderId="0" xfId="0" applyFont="1" applyAlignment="1" applyProtection="1">
      <alignment horizontal="left" vertical="top" wrapText="1"/>
    </xf>
    <xf numFmtId="0" fontId="14" fillId="0" borderId="18" xfId="0" applyFont="1" applyFill="1" applyBorder="1" applyAlignment="1" applyProtection="1">
      <alignment horizontal="center" wrapText="1"/>
    </xf>
    <xf numFmtId="0" fontId="14" fillId="0" borderId="17" xfId="0" applyFont="1" applyFill="1" applyBorder="1" applyAlignment="1" applyProtection="1">
      <alignment horizontal="center" wrapText="1"/>
    </xf>
    <xf numFmtId="0" fontId="14" fillId="0" borderId="3" xfId="0" applyFont="1" applyFill="1" applyBorder="1" applyAlignment="1" applyProtection="1">
      <alignment horizontal="center" wrapText="1"/>
    </xf>
    <xf numFmtId="0" fontId="4" fillId="0" borderId="12" xfId="0" applyFont="1" applyBorder="1" applyAlignment="1" applyProtection="1">
      <alignment horizontal="right"/>
    </xf>
    <xf numFmtId="0" fontId="4" fillId="0" borderId="13" xfId="0" applyFont="1" applyBorder="1" applyAlignment="1" applyProtection="1">
      <alignment horizontal="right"/>
    </xf>
    <xf numFmtId="180" fontId="4" fillId="8" borderId="12" xfId="0" applyNumberFormat="1" applyFont="1" applyFill="1" applyBorder="1" applyAlignment="1" applyProtection="1">
      <alignment horizontal="center" vertical="center"/>
      <protection locked="0"/>
    </xf>
    <xf numFmtId="180" fontId="4" fillId="8" borderId="13" xfId="0" applyNumberFormat="1" applyFont="1" applyFill="1" applyBorder="1" applyAlignment="1" applyProtection="1">
      <alignment horizontal="center" vertical="center"/>
      <protection locked="0"/>
    </xf>
    <xf numFmtId="37" fontId="5" fillId="4" borderId="18" xfId="1" applyNumberFormat="1" applyFont="1" applyFill="1" applyBorder="1" applyAlignment="1" applyProtection="1">
      <alignment horizontal="center"/>
    </xf>
    <xf numFmtId="37" fontId="5" fillId="4" borderId="3" xfId="1" applyNumberFormat="1" applyFont="1" applyFill="1" applyBorder="1" applyAlignment="1" applyProtection="1">
      <alignment horizontal="center"/>
    </xf>
    <xf numFmtId="0" fontId="4" fillId="0" borderId="18" xfId="0" applyFont="1" applyBorder="1" applyAlignment="1" applyProtection="1">
      <alignment horizontal="right"/>
    </xf>
    <xf numFmtId="0" fontId="4" fillId="0" borderId="3" xfId="0" applyFont="1" applyBorder="1" applyAlignment="1" applyProtection="1">
      <alignment horizontal="right"/>
    </xf>
    <xf numFmtId="0" fontId="4" fillId="9" borderId="18" xfId="0" applyFont="1" applyFill="1" applyBorder="1" applyAlignment="1" applyProtection="1">
      <alignment horizontal="center"/>
      <protection locked="0"/>
    </xf>
    <xf numFmtId="0" fontId="4" fillId="9" borderId="3" xfId="0" applyFont="1" applyFill="1" applyBorder="1" applyAlignment="1" applyProtection="1">
      <alignment horizontal="center"/>
      <protection locked="0"/>
    </xf>
    <xf numFmtId="3" fontId="4" fillId="9" borderId="18" xfId="0" applyNumberFormat="1" applyFont="1" applyFill="1" applyBorder="1" applyAlignment="1" applyProtection="1">
      <alignment horizontal="center" vertical="center"/>
      <protection locked="0"/>
    </xf>
    <xf numFmtId="3" fontId="4" fillId="9" borderId="3" xfId="0" applyNumberFormat="1" applyFont="1" applyFill="1" applyBorder="1" applyAlignment="1" applyProtection="1">
      <alignment horizontal="center" vertical="center"/>
      <protection locked="0"/>
    </xf>
    <xf numFmtId="9" fontId="4" fillId="9" borderId="18" xfId="0" applyNumberFormat="1" applyFont="1" applyFill="1" applyBorder="1" applyAlignment="1" applyProtection="1">
      <alignment horizontal="center" vertical="center"/>
      <protection locked="0"/>
    </xf>
    <xf numFmtId="9" fontId="4" fillId="9" borderId="3" xfId="0" applyNumberFormat="1" applyFont="1" applyFill="1" applyBorder="1" applyAlignment="1" applyProtection="1">
      <alignment horizontal="center" vertical="center"/>
      <protection locked="0"/>
    </xf>
    <xf numFmtId="0" fontId="30" fillId="6" borderId="18" xfId="0" applyFont="1" applyFill="1" applyBorder="1" applyAlignment="1" applyProtection="1">
      <alignment horizontal="center"/>
      <protection locked="0"/>
    </xf>
    <xf numFmtId="0" fontId="30" fillId="6" borderId="3" xfId="0" applyFont="1" applyFill="1" applyBorder="1" applyAlignment="1" applyProtection="1">
      <alignment horizontal="center"/>
      <protection locked="0"/>
    </xf>
    <xf numFmtId="0" fontId="7" fillId="0" borderId="2" xfId="0" applyFont="1" applyBorder="1" applyAlignment="1" applyProtection="1">
      <alignment horizontal="left" vertical="top" wrapText="1"/>
      <protection locked="0"/>
    </xf>
    <xf numFmtId="178" fontId="4" fillId="0" borderId="2" xfId="0" applyNumberFormat="1" applyFont="1" applyBorder="1" applyAlignment="1" applyProtection="1">
      <alignment horizontal="center"/>
    </xf>
    <xf numFmtId="0" fontId="4" fillId="0" borderId="14" xfId="0" applyFont="1" applyFill="1" applyBorder="1" applyAlignment="1" applyProtection="1">
      <alignment horizontal="right"/>
    </xf>
    <xf numFmtId="0" fontId="4" fillId="0" borderId="15" xfId="0" applyFont="1" applyFill="1" applyBorder="1" applyAlignment="1" applyProtection="1">
      <alignment horizontal="right"/>
    </xf>
    <xf numFmtId="14" fontId="2" fillId="5" borderId="18" xfId="0" applyNumberFormat="1" applyFont="1" applyFill="1" applyBorder="1" applyAlignment="1" applyProtection="1">
      <alignment horizontal="center" vertical="center"/>
    </xf>
    <xf numFmtId="14" fontId="2" fillId="5" borderId="17" xfId="0" applyNumberFormat="1" applyFont="1" applyFill="1" applyBorder="1" applyAlignment="1" applyProtection="1">
      <alignment horizontal="center" vertical="center"/>
    </xf>
    <xf numFmtId="14" fontId="2" fillId="5" borderId="3" xfId="0" applyNumberFormat="1" applyFont="1" applyFill="1" applyBorder="1" applyAlignment="1" applyProtection="1">
      <alignment horizontal="center" vertical="center"/>
    </xf>
    <xf numFmtId="3" fontId="30" fillId="6" borderId="18" xfId="0" applyNumberFormat="1" applyFont="1" applyFill="1" applyBorder="1" applyAlignment="1" applyProtection="1">
      <alignment horizontal="center"/>
      <protection locked="0"/>
    </xf>
    <xf numFmtId="3" fontId="30" fillId="6" borderId="3" xfId="0" applyNumberFormat="1" applyFont="1" applyFill="1" applyBorder="1" applyAlignment="1" applyProtection="1">
      <alignment horizontal="center"/>
      <protection locked="0"/>
    </xf>
    <xf numFmtId="0" fontId="8" fillId="3" borderId="23" xfId="0" applyFont="1" applyFill="1" applyBorder="1" applyAlignment="1">
      <alignment horizontal="center" vertical="top" wrapText="1"/>
    </xf>
    <xf numFmtId="0" fontId="0" fillId="3" borderId="6" xfId="0" applyFill="1" applyBorder="1" applyAlignment="1">
      <alignment horizontal="center" vertical="top" wrapText="1"/>
    </xf>
    <xf numFmtId="0" fontId="0" fillId="3" borderId="22" xfId="0" applyFill="1" applyBorder="1" applyAlignment="1">
      <alignment horizontal="center" vertical="top" wrapText="1"/>
    </xf>
    <xf numFmtId="0" fontId="0" fillId="3" borderId="2" xfId="0" applyFill="1" applyBorder="1" applyAlignment="1">
      <alignment horizontal="center" vertical="top" wrapText="1"/>
    </xf>
    <xf numFmtId="0" fontId="7" fillId="2" borderId="20"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7" fillId="0" borderId="0" xfId="0" applyFont="1" applyAlignment="1">
      <alignment horizontal="center" vertical="top" wrapText="1"/>
    </xf>
    <xf numFmtId="0" fontId="6" fillId="0" borderId="0" xfId="2" applyAlignment="1" applyProtection="1">
      <alignment horizontal="center" vertical="top" wrapText="1"/>
    </xf>
    <xf numFmtId="0" fontId="11" fillId="0" borderId="0" xfId="2" applyFont="1" applyAlignment="1" applyProtection="1">
      <alignment horizontal="center" vertical="top"/>
    </xf>
    <xf numFmtId="0" fontId="6" fillId="0" borderId="21" xfId="2" applyBorder="1" applyAlignment="1" applyProtection="1">
      <alignment horizontal="center" vertical="top" wrapText="1"/>
    </xf>
    <xf numFmtId="0" fontId="8" fillId="3" borderId="2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3" borderId="22" xfId="0" applyFill="1" applyBorder="1" applyAlignment="1">
      <alignment horizontal="center" vertical="center" wrapText="1"/>
    </xf>
    <xf numFmtId="0" fontId="25" fillId="0" borderId="0" xfId="0" applyFont="1" applyAlignment="1">
      <alignment vertical="center" wrapText="1"/>
    </xf>
    <xf numFmtId="0" fontId="9" fillId="0" borderId="0" xfId="0" applyFont="1" applyAlignment="1">
      <alignment vertical="center" wrapText="1"/>
    </xf>
    <xf numFmtId="0" fontId="25" fillId="0" borderId="0" xfId="0" applyFont="1" applyAlignment="1">
      <alignment wrapText="1"/>
    </xf>
    <xf numFmtId="0" fontId="31" fillId="0" borderId="0" xfId="2" applyFont="1" applyAlignment="1" applyProtection="1">
      <alignment vertical="center" wrapText="1"/>
    </xf>
    <xf numFmtId="0" fontId="25" fillId="0" borderId="0" xfId="2" applyFont="1" applyAlignment="1" applyProtection="1">
      <alignment vertical="center" wrapText="1"/>
    </xf>
    <xf numFmtId="0" fontId="27" fillId="0" borderId="0" xfId="0" applyFont="1" applyAlignment="1">
      <alignment vertical="center" wrapText="1"/>
    </xf>
    <xf numFmtId="0" fontId="27" fillId="0" borderId="0" xfId="0" applyFont="1" applyAlignment="1">
      <alignment vertical="center"/>
    </xf>
    <xf numFmtId="0" fontId="6" fillId="0" borderId="0" xfId="2" applyAlignment="1" applyProtection="1">
      <alignment vertical="center" wrapText="1"/>
    </xf>
    <xf numFmtId="0" fontId="28" fillId="0" borderId="0" xfId="0" applyFont="1" applyAlignment="1">
      <alignment vertical="center"/>
    </xf>
    <xf numFmtId="0" fontId="25" fillId="0" borderId="0" xfId="0" applyFont="1" applyAlignment="1">
      <alignment vertical="center"/>
    </xf>
    <xf numFmtId="0" fontId="25" fillId="0" borderId="0" xfId="0" applyFont="1" applyAlignment="1">
      <alignment horizontal="left" wrapText="1"/>
    </xf>
    <xf numFmtId="0" fontId="0" fillId="0" borderId="0" xfId="0" applyAlignment="1">
      <alignment vertical="center" wrapText="1"/>
    </xf>
    <xf numFmtId="0" fontId="28" fillId="0" borderId="0" xfId="0" applyFont="1" applyAlignment="1">
      <alignment horizontal="left" vertical="center" wrapText="1"/>
    </xf>
    <xf numFmtId="0" fontId="25" fillId="0" borderId="0" xfId="2" applyFont="1" applyFill="1" applyAlignment="1" applyProtection="1">
      <alignment horizontal="left" vertical="center" wrapText="1"/>
    </xf>
    <xf numFmtId="0" fontId="6" fillId="0" borderId="0" xfId="2" applyFill="1" applyAlignment="1" applyProtection="1">
      <alignment horizontal="left" vertical="center" wrapText="1"/>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37</xdr:row>
      <xdr:rowOff>9525</xdr:rowOff>
    </xdr:from>
    <xdr:to>
      <xdr:col>4</xdr:col>
      <xdr:colOff>180975</xdr:colOff>
      <xdr:row>42</xdr:row>
      <xdr:rowOff>152400</xdr:rowOff>
    </xdr:to>
    <xdr:pic>
      <xdr:nvPicPr>
        <xdr:cNvPr id="1115" name="Picture 2">
          <a:extLst>
            <a:ext uri="{FF2B5EF4-FFF2-40B4-BE49-F238E27FC236}">
              <a16:creationId xmlns:a16="http://schemas.microsoft.com/office/drawing/2014/main" id="{306039E7-25D6-4F05-8D64-07BF2E122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401175"/>
          <a:ext cx="60579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xdr:row>
      <xdr:rowOff>104775</xdr:rowOff>
    </xdr:from>
    <xdr:to>
      <xdr:col>8</xdr:col>
      <xdr:colOff>19050</xdr:colOff>
      <xdr:row>12</xdr:row>
      <xdr:rowOff>9525</xdr:rowOff>
    </xdr:to>
    <xdr:grpSp>
      <xdr:nvGrpSpPr>
        <xdr:cNvPr id="9176" name="Group 22">
          <a:extLst>
            <a:ext uri="{FF2B5EF4-FFF2-40B4-BE49-F238E27FC236}">
              <a16:creationId xmlns:a16="http://schemas.microsoft.com/office/drawing/2014/main" id="{23561922-AE5A-43FF-9CA0-4B1E6778A270}"/>
            </a:ext>
          </a:extLst>
        </xdr:cNvPr>
        <xdr:cNvGrpSpPr>
          <a:grpSpLocks/>
        </xdr:cNvGrpSpPr>
      </xdr:nvGrpSpPr>
      <xdr:grpSpPr bwMode="auto">
        <a:xfrm>
          <a:off x="600075" y="428625"/>
          <a:ext cx="4295775" cy="1524000"/>
          <a:chOff x="600075" y="-66675"/>
          <a:chExt cx="4295775" cy="1524000"/>
        </a:xfrm>
      </xdr:grpSpPr>
      <xdr:grpSp>
        <xdr:nvGrpSpPr>
          <xdr:cNvPr id="9180" name="Group 21">
            <a:extLst>
              <a:ext uri="{FF2B5EF4-FFF2-40B4-BE49-F238E27FC236}">
                <a16:creationId xmlns:a16="http://schemas.microsoft.com/office/drawing/2014/main" id="{E036B411-05F1-43CA-A312-705E39C0FB6C}"/>
              </a:ext>
            </a:extLst>
          </xdr:cNvPr>
          <xdr:cNvGrpSpPr>
            <a:grpSpLocks/>
          </xdr:cNvGrpSpPr>
        </xdr:nvGrpSpPr>
        <xdr:grpSpPr bwMode="auto">
          <a:xfrm>
            <a:off x="600075" y="114300"/>
            <a:ext cx="3067050" cy="1343025"/>
            <a:chOff x="600075" y="114300"/>
            <a:chExt cx="3067050" cy="1343025"/>
          </a:xfrm>
        </xdr:grpSpPr>
        <xdr:grpSp>
          <xdr:nvGrpSpPr>
            <xdr:cNvPr id="9182" name="Group 15">
              <a:extLst>
                <a:ext uri="{FF2B5EF4-FFF2-40B4-BE49-F238E27FC236}">
                  <a16:creationId xmlns:a16="http://schemas.microsoft.com/office/drawing/2014/main" id="{0FBC10FD-A1D7-4DAE-889C-E52673ED5C49}"/>
                </a:ext>
              </a:extLst>
            </xdr:cNvPr>
            <xdr:cNvGrpSpPr>
              <a:grpSpLocks/>
            </xdr:cNvGrpSpPr>
          </xdr:nvGrpSpPr>
          <xdr:grpSpPr bwMode="auto">
            <a:xfrm>
              <a:off x="600075" y="485775"/>
              <a:ext cx="3067050" cy="971550"/>
              <a:chOff x="600075" y="323850"/>
              <a:chExt cx="3067050" cy="971550"/>
            </a:xfrm>
          </xdr:grpSpPr>
          <xdr:grpSp>
            <xdr:nvGrpSpPr>
              <xdr:cNvPr id="9186" name="Group 14">
                <a:extLst>
                  <a:ext uri="{FF2B5EF4-FFF2-40B4-BE49-F238E27FC236}">
                    <a16:creationId xmlns:a16="http://schemas.microsoft.com/office/drawing/2014/main" id="{73959CC8-9320-44E8-B8FB-6FE8DA33B685}"/>
                  </a:ext>
                </a:extLst>
              </xdr:cNvPr>
              <xdr:cNvGrpSpPr>
                <a:grpSpLocks/>
              </xdr:cNvGrpSpPr>
            </xdr:nvGrpSpPr>
            <xdr:grpSpPr bwMode="auto">
              <a:xfrm>
                <a:off x="600075" y="323850"/>
                <a:ext cx="3067050" cy="971550"/>
                <a:chOff x="600075" y="323850"/>
                <a:chExt cx="3067050" cy="971550"/>
              </a:xfrm>
            </xdr:grpSpPr>
            <xdr:cxnSp macro="">
              <xdr:nvCxnSpPr>
                <xdr:cNvPr id="3" name="Straight Connector 2">
                  <a:extLst>
                    <a:ext uri="{FF2B5EF4-FFF2-40B4-BE49-F238E27FC236}">
                      <a16:creationId xmlns:a16="http://schemas.microsoft.com/office/drawing/2014/main" id="{99077044-E450-4C7E-9CA1-E1009821222B}"/>
                    </a:ext>
                  </a:extLst>
                </xdr:cNvPr>
                <xdr:cNvCxnSpPr/>
              </xdr:nvCxnSpPr>
              <xdr:spPr>
                <a:xfrm>
                  <a:off x="609600" y="323850"/>
                  <a:ext cx="3057525" cy="0"/>
                </a:xfrm>
                <a:prstGeom prst="line">
                  <a:avLst/>
                </a:prstGeom>
                <a:ln w="15875"/>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F22C6DAF-8CE8-4FB4-B385-52D56CC07B5E}"/>
                    </a:ext>
                  </a:extLst>
                </xdr:cNvPr>
                <xdr:cNvCxnSpPr/>
              </xdr:nvCxnSpPr>
              <xdr:spPr>
                <a:xfrm>
                  <a:off x="600075" y="647700"/>
                  <a:ext cx="3057525" cy="0"/>
                </a:xfrm>
                <a:prstGeom prst="line">
                  <a:avLst/>
                </a:prstGeom>
                <a:ln w="15875">
                  <a:prstDash val="lgDash"/>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a:extLst>
                    <a:ext uri="{FF2B5EF4-FFF2-40B4-BE49-F238E27FC236}">
                      <a16:creationId xmlns:a16="http://schemas.microsoft.com/office/drawing/2014/main" id="{70DAC697-E0D6-4BE6-A7A9-CD1E8E8193A4}"/>
                    </a:ext>
                  </a:extLst>
                </xdr:cNvPr>
                <xdr:cNvCxnSpPr/>
              </xdr:nvCxnSpPr>
              <xdr:spPr>
                <a:xfrm>
                  <a:off x="609600" y="971550"/>
                  <a:ext cx="3057525" cy="0"/>
                </a:xfrm>
                <a:prstGeom prst="line">
                  <a:avLst/>
                </a:prstGeom>
                <a:ln w="15875">
                  <a:prstDash val="lgDash"/>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FC14EF96-ED99-4540-BEC3-4DF413022025}"/>
                    </a:ext>
                  </a:extLst>
                </xdr:cNvPr>
                <xdr:cNvCxnSpPr/>
              </xdr:nvCxnSpPr>
              <xdr:spPr>
                <a:xfrm>
                  <a:off x="609600" y="1295400"/>
                  <a:ext cx="3057525" cy="0"/>
                </a:xfrm>
                <a:prstGeom prst="line">
                  <a:avLst/>
                </a:prstGeom>
                <a:ln w="15875"/>
              </xdr:spPr>
              <xdr:style>
                <a:lnRef idx="1">
                  <a:schemeClr val="accent1"/>
                </a:lnRef>
                <a:fillRef idx="0">
                  <a:schemeClr val="accent1"/>
                </a:fillRef>
                <a:effectRef idx="0">
                  <a:schemeClr val="accent1"/>
                </a:effectRef>
                <a:fontRef idx="minor">
                  <a:schemeClr val="tx1"/>
                </a:fontRef>
              </xdr:style>
            </xdr:cxnSp>
          </xdr:grpSp>
          <xdr:grpSp>
            <xdr:nvGrpSpPr>
              <xdr:cNvPr id="9187" name="Group 13">
                <a:extLst>
                  <a:ext uri="{FF2B5EF4-FFF2-40B4-BE49-F238E27FC236}">
                    <a16:creationId xmlns:a16="http://schemas.microsoft.com/office/drawing/2014/main" id="{B236EEBF-E1D0-4F00-864B-245378A5B3B8}"/>
                  </a:ext>
                </a:extLst>
              </xdr:cNvPr>
              <xdr:cNvGrpSpPr>
                <a:grpSpLocks/>
              </xdr:cNvGrpSpPr>
            </xdr:nvGrpSpPr>
            <xdr:grpSpPr bwMode="auto">
              <a:xfrm>
                <a:off x="609600" y="352425"/>
                <a:ext cx="619125" cy="781050"/>
                <a:chOff x="609600" y="352425"/>
                <a:chExt cx="619125" cy="781050"/>
              </a:xfrm>
            </xdr:grpSpPr>
            <xdr:cxnSp macro="">
              <xdr:nvCxnSpPr>
                <xdr:cNvPr id="9" name="Straight Arrow Connector 8">
                  <a:extLst>
                    <a:ext uri="{FF2B5EF4-FFF2-40B4-BE49-F238E27FC236}">
                      <a16:creationId xmlns:a16="http://schemas.microsoft.com/office/drawing/2014/main" id="{131D213A-096D-4B40-9788-00C17A01C084}"/>
                    </a:ext>
                  </a:extLst>
                </xdr:cNvPr>
                <xdr:cNvCxnSpPr/>
              </xdr:nvCxnSpPr>
              <xdr:spPr>
                <a:xfrm>
                  <a:off x="609600" y="1133475"/>
                  <a:ext cx="619125" cy="0"/>
                </a:xfrm>
                <a:prstGeom prst="straightConnector1">
                  <a:avLst/>
                </a:prstGeom>
                <a:ln w="28575">
                  <a:solidFill>
                    <a:srgbClr val="00B05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Straight Arrow Connector 9">
                  <a:extLst>
                    <a:ext uri="{FF2B5EF4-FFF2-40B4-BE49-F238E27FC236}">
                      <a16:creationId xmlns:a16="http://schemas.microsoft.com/office/drawing/2014/main" id="{8E0FBB22-03BB-4D10-9477-51C3C1518A7C}"/>
                    </a:ext>
                  </a:extLst>
                </xdr:cNvPr>
                <xdr:cNvCxnSpPr/>
              </xdr:nvCxnSpPr>
              <xdr:spPr>
                <a:xfrm>
                  <a:off x="619125" y="809625"/>
                  <a:ext cx="609600" cy="0"/>
                </a:xfrm>
                <a:prstGeom prst="straightConnector1">
                  <a:avLst/>
                </a:prstGeom>
                <a:ln w="28575">
                  <a:solidFill>
                    <a:srgbClr val="00B05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sp macro="" textlink="">
              <xdr:nvSpPr>
                <xdr:cNvPr id="11" name="Multiplication Sign 10">
                  <a:extLst>
                    <a:ext uri="{FF2B5EF4-FFF2-40B4-BE49-F238E27FC236}">
                      <a16:creationId xmlns:a16="http://schemas.microsoft.com/office/drawing/2014/main" id="{8CD4B090-1B6A-4838-B50E-438DD84D3D67}"/>
                    </a:ext>
                  </a:extLst>
                </xdr:cNvPr>
                <xdr:cNvSpPr/>
              </xdr:nvSpPr>
              <xdr:spPr>
                <a:xfrm>
                  <a:off x="714375" y="352425"/>
                  <a:ext cx="428625" cy="257175"/>
                </a:xfrm>
                <a:prstGeom prst="mathMultiply">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grpSp>
        <xdr:grpSp>
          <xdr:nvGrpSpPr>
            <xdr:cNvPr id="9183" name="Group 20">
              <a:extLst>
                <a:ext uri="{FF2B5EF4-FFF2-40B4-BE49-F238E27FC236}">
                  <a16:creationId xmlns:a16="http://schemas.microsoft.com/office/drawing/2014/main" id="{7597D8D2-B343-43A7-99DA-1B0CEC865F30}"/>
                </a:ext>
              </a:extLst>
            </xdr:cNvPr>
            <xdr:cNvGrpSpPr>
              <a:grpSpLocks/>
            </xdr:cNvGrpSpPr>
          </xdr:nvGrpSpPr>
          <xdr:grpSpPr bwMode="auto">
            <a:xfrm>
              <a:off x="1257300" y="114300"/>
              <a:ext cx="419100" cy="771525"/>
              <a:chOff x="1257300" y="114300"/>
              <a:chExt cx="419100" cy="771525"/>
            </a:xfrm>
          </xdr:grpSpPr>
          <xdr:sp macro="" textlink="">
            <xdr:nvSpPr>
              <xdr:cNvPr id="18" name="Minus Sign 17">
                <a:extLst>
                  <a:ext uri="{FF2B5EF4-FFF2-40B4-BE49-F238E27FC236}">
                    <a16:creationId xmlns:a16="http://schemas.microsoft.com/office/drawing/2014/main" id="{717C4129-9311-47F7-86E5-2B152CD4396A}"/>
                  </a:ext>
                </a:extLst>
              </xdr:cNvPr>
              <xdr:cNvSpPr/>
            </xdr:nvSpPr>
            <xdr:spPr>
              <a:xfrm rot="16200000">
                <a:off x="1133475" y="381000"/>
                <a:ext cx="628650" cy="381000"/>
              </a:xfrm>
              <a:prstGeom prst="mathMinus">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19" name="TextBox 18">
                <a:extLst>
                  <a:ext uri="{FF2B5EF4-FFF2-40B4-BE49-F238E27FC236}">
                    <a16:creationId xmlns:a16="http://schemas.microsoft.com/office/drawing/2014/main" id="{B06221CA-95C3-4E1D-8F21-20B8388DED42}"/>
                  </a:ext>
                </a:extLst>
              </xdr:cNvPr>
              <xdr:cNvSpPr txBox="1"/>
            </xdr:nvSpPr>
            <xdr:spPr>
              <a:xfrm>
                <a:off x="1304925" y="114300"/>
                <a:ext cx="3714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a:t>
                </a:r>
              </a:p>
            </xdr:txBody>
          </xdr:sp>
        </xdr:grpSp>
      </xdr:grpSp>
      <xdr:sp macro="" textlink="">
        <xdr:nvSpPr>
          <xdr:cNvPr id="20" name="TextBox 19">
            <a:extLst>
              <a:ext uri="{FF2B5EF4-FFF2-40B4-BE49-F238E27FC236}">
                <a16:creationId xmlns:a16="http://schemas.microsoft.com/office/drawing/2014/main" id="{B91047B7-CBBC-4EBC-8EE9-338DA5F56C4B}"/>
              </a:ext>
            </a:extLst>
          </xdr:cNvPr>
          <xdr:cNvSpPr txBox="1"/>
        </xdr:nvSpPr>
        <xdr:spPr>
          <a:xfrm>
            <a:off x="1819275" y="-66675"/>
            <a:ext cx="307657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Based upon how many vehicles would</a:t>
            </a:r>
            <a:r>
              <a:rPr lang="en-US" sz="1100" baseline="0"/>
              <a:t> have passed this point in a given timeframe.</a:t>
            </a:r>
            <a:endParaRPr lang="en-US" sz="1100"/>
          </a:p>
        </xdr:txBody>
      </xdr:sp>
    </xdr:grpSp>
    <xdr:clientData/>
  </xdr:twoCellAnchor>
  <xdr:twoCellAnchor>
    <xdr:from>
      <xdr:col>7</xdr:col>
      <xdr:colOff>0</xdr:colOff>
      <xdr:row>5</xdr:row>
      <xdr:rowOff>9525</xdr:rowOff>
    </xdr:from>
    <xdr:to>
      <xdr:col>14</xdr:col>
      <xdr:colOff>19050</xdr:colOff>
      <xdr:row>12</xdr:row>
      <xdr:rowOff>28575</xdr:rowOff>
    </xdr:to>
    <xdr:sp macro="" textlink="">
      <xdr:nvSpPr>
        <xdr:cNvPr id="24" name="TextBox 23">
          <a:extLst>
            <a:ext uri="{FF2B5EF4-FFF2-40B4-BE49-F238E27FC236}">
              <a16:creationId xmlns:a16="http://schemas.microsoft.com/office/drawing/2014/main" id="{79D607C7-AE37-4A5E-8289-63E961DEC8FA}"/>
            </a:ext>
          </a:extLst>
        </xdr:cNvPr>
        <xdr:cNvSpPr txBox="1"/>
      </xdr:nvSpPr>
      <xdr:spPr>
        <a:xfrm>
          <a:off x="4267200" y="819150"/>
          <a:ext cx="4286250"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Example: </a:t>
          </a:r>
        </a:p>
        <a:p>
          <a:r>
            <a:rPr lang="en-US" sz="1100"/>
            <a:t>-60,000 AADT, 10%</a:t>
          </a:r>
          <a:r>
            <a:rPr lang="en-US" sz="1100" baseline="0"/>
            <a:t> Trucks</a:t>
          </a:r>
        </a:p>
        <a:p>
          <a:r>
            <a:rPr lang="en-US" sz="1100"/>
            <a:t>-3</a:t>
          </a:r>
          <a:r>
            <a:rPr lang="en-US" sz="1100" baseline="0"/>
            <a:t> total lanes, 1 lane closed (3:2) for 30 minutes beyond permitted</a:t>
          </a:r>
        </a:p>
        <a:p>
          <a:r>
            <a:rPr lang="en-US" sz="1100" baseline="0"/>
            <a:t>-2018 Construction</a:t>
          </a:r>
        </a:p>
        <a:p>
          <a:endParaRPr lang="en-US" sz="1100" baseline="0"/>
        </a:p>
      </xdr:txBody>
    </xdr:sp>
    <xdr:clientData/>
  </xdr:twoCellAnchor>
  <xdr:twoCellAnchor>
    <xdr:from>
      <xdr:col>0</xdr:col>
      <xdr:colOff>0</xdr:colOff>
      <xdr:row>0</xdr:row>
      <xdr:rowOff>85725</xdr:rowOff>
    </xdr:from>
    <xdr:to>
      <xdr:col>15</xdr:col>
      <xdr:colOff>9525</xdr:colOff>
      <xdr:row>2</xdr:row>
      <xdr:rowOff>104775</xdr:rowOff>
    </xdr:to>
    <xdr:sp macro="" textlink="">
      <xdr:nvSpPr>
        <xdr:cNvPr id="25" name="TextBox 24">
          <a:extLst>
            <a:ext uri="{FF2B5EF4-FFF2-40B4-BE49-F238E27FC236}">
              <a16:creationId xmlns:a16="http://schemas.microsoft.com/office/drawing/2014/main" id="{2F3CB27D-B011-49A8-9DFC-111788AE9A20}"/>
            </a:ext>
          </a:extLst>
        </xdr:cNvPr>
        <xdr:cNvSpPr txBox="1"/>
      </xdr:nvSpPr>
      <xdr:spPr>
        <a:xfrm>
          <a:off x="0" y="85725"/>
          <a:ext cx="91535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Lane(s) Closed on Mainline Road User Cost Calculation</a:t>
          </a:r>
          <a:r>
            <a:rPr lang="en-US" sz="1400" b="1" baseline="0"/>
            <a:t> Method and Assumptions</a:t>
          </a:r>
          <a:endParaRPr lang="en-US" sz="1400" b="1"/>
        </a:p>
      </xdr:txBody>
    </xdr:sp>
    <xdr:clientData/>
  </xdr:twoCellAnchor>
  <xdr:twoCellAnchor>
    <xdr:from>
      <xdr:col>1</xdr:col>
      <xdr:colOff>0</xdr:colOff>
      <xdr:row>13</xdr:row>
      <xdr:rowOff>152400</xdr:rowOff>
    </xdr:from>
    <xdr:to>
      <xdr:col>14</xdr:col>
      <xdr:colOff>28575</xdr:colOff>
      <xdr:row>23</xdr:row>
      <xdr:rowOff>76200</xdr:rowOff>
    </xdr:to>
    <xdr:sp macro="" textlink="">
      <xdr:nvSpPr>
        <xdr:cNvPr id="26" name="TextBox 25">
          <a:extLst>
            <a:ext uri="{FF2B5EF4-FFF2-40B4-BE49-F238E27FC236}">
              <a16:creationId xmlns:a16="http://schemas.microsoft.com/office/drawing/2014/main" id="{684E92CC-F7C3-42ED-960C-4005D61C033D}"/>
            </a:ext>
          </a:extLst>
        </xdr:cNvPr>
        <xdr:cNvSpPr txBox="1"/>
      </xdr:nvSpPr>
      <xdr:spPr>
        <a:xfrm>
          <a:off x="609600" y="2257425"/>
          <a:ext cx="79533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Assumptions Made to Simplify the Calculation: </a:t>
          </a:r>
        </a:p>
        <a:p>
          <a:r>
            <a:rPr lang="en-US" sz="1100"/>
            <a:t>-AADT divided by 2 to obtain a directional AADT (rather than using specific directional percentages).</a:t>
          </a:r>
          <a:r>
            <a:rPr lang="en-US" sz="1100" baseline="0"/>
            <a:t> </a:t>
          </a:r>
          <a:endParaRPr lang="en-US" sz="1100"/>
        </a:p>
        <a:p>
          <a:r>
            <a:rPr lang="en-US" sz="1100"/>
            <a:t>-Directional AADT divided by 24 gives hourly total volume (rather than using hourly percentages). </a:t>
          </a:r>
        </a:p>
        <a:p>
          <a:r>
            <a:rPr lang="en-US" sz="1100"/>
            <a:t>-Equal</a:t>
          </a:r>
          <a:r>
            <a:rPr lang="en-US" sz="1100" baseline="0"/>
            <a:t> lane utilization. </a:t>
          </a:r>
        </a:p>
        <a:p>
          <a:r>
            <a:rPr lang="en-US" sz="1100" baseline="0"/>
            <a:t>-Vehicles impacted by the lane closure are only those that would have traveled in the closed lane(s) had they been open (rather than also assessing impacts on vehicles that would have traveled in lane(s) that remained open and had to accomodate the traffic from the closed lane(s)). </a:t>
          </a:r>
        </a:p>
        <a:p>
          <a:r>
            <a:rPr lang="en-US" sz="1100" baseline="0"/>
            <a:t>-Same % trucks applicable throughout the day.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bls.gov/cpi/tables/supplemental-files/home.htm" TargetMode="External"/><Relationship Id="rId2" Type="http://schemas.openxmlformats.org/officeDocument/2006/relationships/hyperlink" Target="http://www.bls.gov/cpi" TargetMode="External"/><Relationship Id="rId1" Type="http://schemas.openxmlformats.org/officeDocument/2006/relationships/hyperlink" Target="http://www.bls.gov/cpi"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mailto:Duane.Soisson@dot.state.oh.us" TargetMode="External"/><Relationship Id="rId7" Type="http://schemas.openxmlformats.org/officeDocument/2006/relationships/hyperlink" Target="https://www.bls.gov/cpi/tables/supplemental-files/home.htm" TargetMode="External"/><Relationship Id="rId2" Type="http://schemas.openxmlformats.org/officeDocument/2006/relationships/hyperlink" Target="mailto:Emily.Willis@dot.state.oh.us" TargetMode="External"/><Relationship Id="rId1" Type="http://schemas.openxmlformats.org/officeDocument/2006/relationships/hyperlink" Target="http://www.bls.gov/cpi" TargetMode="External"/><Relationship Id="rId6" Type="http://schemas.openxmlformats.org/officeDocument/2006/relationships/hyperlink" Target="https://www.bls.gov/cpi/tables/supplemental-files/home.htm" TargetMode="External"/><Relationship Id="rId5" Type="http://schemas.openxmlformats.org/officeDocument/2006/relationships/hyperlink" Target="mailto:Christopher.Wilson@dot.ohio.gov?subject=Question%20about%20the%20Road%20User%20Cost%20Spreadsheet" TargetMode="External"/><Relationship Id="rId4" Type="http://schemas.openxmlformats.org/officeDocument/2006/relationships/hyperlink" Target="mailto:Emily.Willis@dot.ohio.gov?subject=Question%20about%20the%20Road%20User%20Cost%20Spreadshe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5E2"/>
  </sheetPr>
  <dimension ref="B2:E32"/>
  <sheetViews>
    <sheetView showGridLines="0" workbookViewId="0">
      <selection activeCell="D4" sqref="D4:E4"/>
    </sheetView>
  </sheetViews>
  <sheetFormatPr defaultRowHeight="12.75" x14ac:dyDescent="0.2"/>
  <cols>
    <col min="1" max="1" width="2.28515625" customWidth="1"/>
    <col min="2" max="2" width="14.85546875" customWidth="1"/>
    <col min="3" max="3" width="34.140625" customWidth="1"/>
    <col min="4" max="4" width="14.7109375" customWidth="1"/>
    <col min="5" max="5" width="13.5703125" customWidth="1"/>
    <col min="6" max="6" width="2.28515625" customWidth="1"/>
  </cols>
  <sheetData>
    <row r="2" spans="2:5" ht="21.75" customHeight="1" x14ac:dyDescent="0.25">
      <c r="B2" s="166" t="s">
        <v>16</v>
      </c>
      <c r="C2" s="166"/>
      <c r="D2" s="166"/>
      <c r="E2" s="166"/>
    </row>
    <row r="3" spans="2:5" x14ac:dyDescent="0.2">
      <c r="B3" s="153" t="s">
        <v>17</v>
      </c>
      <c r="C3" s="154"/>
      <c r="D3" s="154"/>
      <c r="E3" s="155"/>
    </row>
    <row r="4" spans="2:5" ht="15.75" x14ac:dyDescent="0.25">
      <c r="B4" s="149" t="s">
        <v>56</v>
      </c>
      <c r="C4" s="150"/>
      <c r="D4" s="151" t="s">
        <v>60</v>
      </c>
      <c r="E4" s="152"/>
    </row>
    <row r="5" spans="2:5" ht="15.75" x14ac:dyDescent="0.25">
      <c r="B5" s="149" t="s">
        <v>14</v>
      </c>
      <c r="C5" s="150"/>
      <c r="D5" s="151"/>
      <c r="E5" s="152"/>
    </row>
    <row r="6" spans="2:5" ht="21.75" customHeight="1" x14ac:dyDescent="0.25">
      <c r="B6" s="167" t="s">
        <v>15</v>
      </c>
      <c r="C6" s="168"/>
      <c r="D6" s="168"/>
      <c r="E6" s="169"/>
    </row>
    <row r="7" spans="2:5" ht="15.75" customHeight="1" x14ac:dyDescent="0.25">
      <c r="B7" s="149" t="s">
        <v>47</v>
      </c>
      <c r="C7" s="150"/>
      <c r="D7" s="151"/>
      <c r="E7" s="152"/>
    </row>
    <row r="8" spans="2:5" ht="15.75" x14ac:dyDescent="0.25">
      <c r="B8" s="1"/>
      <c r="C8" s="4"/>
      <c r="D8" s="3" t="s">
        <v>9</v>
      </c>
      <c r="E8" s="2" t="s">
        <v>0</v>
      </c>
    </row>
    <row r="9" spans="2:5" ht="15.75" x14ac:dyDescent="0.25">
      <c r="B9" s="158" t="s">
        <v>49</v>
      </c>
      <c r="C9" s="159"/>
      <c r="D9" s="89"/>
      <c r="E9" s="90"/>
    </row>
    <row r="10" spans="2:5" ht="15.75" x14ac:dyDescent="0.25">
      <c r="B10" s="158" t="s">
        <v>55</v>
      </c>
      <c r="C10" s="159"/>
      <c r="D10" s="156"/>
      <c r="E10" s="157"/>
    </row>
    <row r="11" spans="2:5" ht="15.75" x14ac:dyDescent="0.25">
      <c r="B11" s="158" t="s">
        <v>50</v>
      </c>
      <c r="C11" s="159"/>
      <c r="D11" s="90"/>
      <c r="E11" s="90"/>
    </row>
    <row r="12" spans="2:5" ht="15.75" x14ac:dyDescent="0.25">
      <c r="B12" s="158" t="s">
        <v>51</v>
      </c>
      <c r="C12" s="159"/>
      <c r="D12" s="90"/>
      <c r="E12" s="90"/>
    </row>
    <row r="13" spans="2:5" ht="15.75" x14ac:dyDescent="0.25">
      <c r="B13" s="160" t="s">
        <v>18</v>
      </c>
      <c r="C13" s="161"/>
      <c r="D13" s="162"/>
      <c r="E13" s="163"/>
    </row>
    <row r="14" spans="2:5" ht="21.75" customHeight="1" x14ac:dyDescent="0.25">
      <c r="B14" s="172" t="s">
        <v>19</v>
      </c>
      <c r="C14" s="173"/>
      <c r="D14" s="168"/>
      <c r="E14" s="169"/>
    </row>
    <row r="15" spans="2:5" ht="16.5" customHeight="1" x14ac:dyDescent="0.2">
      <c r="B15" s="170" t="s">
        <v>54</v>
      </c>
      <c r="C15" s="171"/>
      <c r="D15" s="23" t="str">
        <f>IF(D7="","",LOOKUP(D7,'CPI Data'!H7:H28,'CPI Data'!F7:F28))</f>
        <v/>
      </c>
      <c r="E15" s="24" t="str">
        <f>IF(D7="","",LOOKUP(D7,'CPI Data'!H7:H28,'CPI Data'!G7:G28))</f>
        <v/>
      </c>
    </row>
    <row r="16" spans="2:5" ht="15" x14ac:dyDescent="0.2">
      <c r="B16" s="147" t="s">
        <v>52</v>
      </c>
      <c r="C16" s="148"/>
      <c r="D16" s="25" t="str">
        <f>IF((OR(D10="",D11="")),"",(1/((1/$D$10)*D11))*60*60)</f>
        <v/>
      </c>
      <c r="E16" s="25" t="str">
        <f>IF((OR(D10="",E11="")),"",(1/((1/$D$10)*E11))*60*60)</f>
        <v/>
      </c>
    </row>
    <row r="17" spans="2:5" ht="15" x14ac:dyDescent="0.2">
      <c r="B17" s="147" t="s">
        <v>53</v>
      </c>
      <c r="C17" s="148"/>
      <c r="D17" s="25" t="str">
        <f>IF((OR(D10="",D12="")),"",(1/((1/$D$10)*D12))*60*60)</f>
        <v/>
      </c>
      <c r="E17" s="25" t="str">
        <f>IF((OR(D10="",E12="")),"",(1/((1/$D$10)*E12))*60*60)</f>
        <v/>
      </c>
    </row>
    <row r="18" spans="2:5" ht="15" x14ac:dyDescent="0.2">
      <c r="B18" s="147" t="s">
        <v>20</v>
      </c>
      <c r="C18" s="148"/>
      <c r="D18" s="25" t="str">
        <f>IF((OR(D16="",D17="")),"",D17-D16)</f>
        <v/>
      </c>
      <c r="E18" s="25" t="str">
        <f>IF((OR(E16="",E17="")),"",E17-E16)</f>
        <v/>
      </c>
    </row>
    <row r="19" spans="2:5" ht="15" x14ac:dyDescent="0.2">
      <c r="B19" s="147" t="s">
        <v>21</v>
      </c>
      <c r="C19" s="148"/>
      <c r="D19" s="26" t="str">
        <f>IF(D18="","",D18/3600)</f>
        <v/>
      </c>
      <c r="E19" s="26" t="str">
        <f>IF(E18="","",E18/3600)</f>
        <v/>
      </c>
    </row>
    <row r="20" spans="2:5" ht="15" x14ac:dyDescent="0.2">
      <c r="B20" s="147" t="s">
        <v>41</v>
      </c>
      <c r="C20" s="148"/>
      <c r="D20" s="21" t="str">
        <f>IF((OR(D15="",D19="")),"",D19*D15)</f>
        <v/>
      </c>
      <c r="E20" s="21" t="str">
        <f>IF((OR(E15="",E19="")),"",E19*E15)</f>
        <v/>
      </c>
    </row>
    <row r="21" spans="2:5" ht="15" x14ac:dyDescent="0.2">
      <c r="B21" s="147" t="s">
        <v>40</v>
      </c>
      <c r="C21" s="148"/>
      <c r="D21" s="21" t="str">
        <f>IF(D20="","",D20*$D$9)</f>
        <v/>
      </c>
      <c r="E21" s="21" t="str">
        <f>IF(E20="","",E20*$E$9)</f>
        <v/>
      </c>
    </row>
    <row r="22" spans="2:5" ht="15" x14ac:dyDescent="0.2">
      <c r="B22" s="147" t="s">
        <v>42</v>
      </c>
      <c r="C22" s="148"/>
      <c r="D22" s="22" t="str">
        <f>IF((OR(D21="",D13="")),"",D21*$D$13)</f>
        <v/>
      </c>
      <c r="E22" s="22" t="str">
        <f>IF((OR(E21="",D13="")),"",E21*$D$13)</f>
        <v/>
      </c>
    </row>
    <row r="23" spans="2:5" ht="15.75" x14ac:dyDescent="0.25">
      <c r="B23" s="164" t="s">
        <v>43</v>
      </c>
      <c r="C23" s="165"/>
      <c r="D23" s="146" t="str">
        <f>IF((OR(D22="",E22="",D9="",E9="")),"(Missing Input)",(D22+E22))</f>
        <v>(Missing Input)</v>
      </c>
      <c r="E23" s="146"/>
    </row>
    <row r="24" spans="2:5" ht="15.75" x14ac:dyDescent="0.25">
      <c r="B24" s="160" t="s">
        <v>57</v>
      </c>
      <c r="C24" s="161"/>
      <c r="D24" s="146" t="str">
        <f>IF((OR(D13="",D23="",D23="(Missing Input)")),"(Missing Input)",D23/D13)</f>
        <v>(Missing Input)</v>
      </c>
      <c r="E24" s="146"/>
    </row>
    <row r="25" spans="2:5" x14ac:dyDescent="0.2">
      <c r="E25" s="128" t="s">
        <v>194</v>
      </c>
    </row>
    <row r="26" spans="2:5" x14ac:dyDescent="0.2">
      <c r="B26" s="48" t="s">
        <v>38</v>
      </c>
    </row>
    <row r="27" spans="2:5" ht="6" customHeight="1" x14ac:dyDescent="0.2"/>
    <row r="28" spans="2:5" x14ac:dyDescent="0.2">
      <c r="B28" s="48" t="s">
        <v>44</v>
      </c>
    </row>
    <row r="29" spans="2:5" ht="6" customHeight="1" x14ac:dyDescent="0.2"/>
    <row r="30" spans="2:5" x14ac:dyDescent="0.2">
      <c r="B30" s="47" t="s">
        <v>39</v>
      </c>
      <c r="C30" s="50">
        <f ca="1">TODAY()</f>
        <v>44601</v>
      </c>
      <c r="D30" s="47"/>
      <c r="E30" s="47"/>
    </row>
    <row r="31" spans="2:5" ht="6" customHeight="1" x14ac:dyDescent="0.2"/>
    <row r="32" spans="2:5" x14ac:dyDescent="0.2">
      <c r="B32" t="s">
        <v>1</v>
      </c>
    </row>
  </sheetData>
  <sheetProtection password="AB33" sheet="1" selectLockedCells="1"/>
  <mergeCells count="29">
    <mergeCell ref="B24:C24"/>
    <mergeCell ref="B11:C11"/>
    <mergeCell ref="B15:C15"/>
    <mergeCell ref="B10:C10"/>
    <mergeCell ref="B12:C12"/>
    <mergeCell ref="B18:C18"/>
    <mergeCell ref="B19:C19"/>
    <mergeCell ref="B20:C20"/>
    <mergeCell ref="B21:C21"/>
    <mergeCell ref="B14:E14"/>
    <mergeCell ref="D23:E23"/>
    <mergeCell ref="B22:C22"/>
    <mergeCell ref="B23:C23"/>
    <mergeCell ref="B2:E2"/>
    <mergeCell ref="D4:E4"/>
    <mergeCell ref="D5:E5"/>
    <mergeCell ref="B6:E6"/>
    <mergeCell ref="B5:C5"/>
    <mergeCell ref="B4:C4"/>
    <mergeCell ref="D24:E24"/>
    <mergeCell ref="B16:C16"/>
    <mergeCell ref="B7:C7"/>
    <mergeCell ref="D7:E7"/>
    <mergeCell ref="B3:E3"/>
    <mergeCell ref="D10:E10"/>
    <mergeCell ref="B9:C9"/>
    <mergeCell ref="B13:C13"/>
    <mergeCell ref="B17:C17"/>
    <mergeCell ref="D13:E13"/>
  </mergeCells>
  <phoneticPr fontId="0" type="noConversion"/>
  <printOptions horizontalCentered="1"/>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69"/>
    <pageSetUpPr fitToPage="1"/>
  </sheetPr>
  <dimension ref="A1:B11"/>
  <sheetViews>
    <sheetView showGridLines="0" workbookViewId="0">
      <selection activeCell="H44" sqref="H44"/>
    </sheetView>
  </sheetViews>
  <sheetFormatPr defaultRowHeight="12.75" x14ac:dyDescent="0.2"/>
  <cols>
    <col min="1" max="1" width="16.5703125" style="142" customWidth="1"/>
    <col min="2" max="2" width="100" style="143" customWidth="1"/>
    <col min="3" max="16384" width="9.140625" style="58"/>
  </cols>
  <sheetData>
    <row r="1" spans="1:2" s="133" customFormat="1" x14ac:dyDescent="0.2">
      <c r="A1" s="132" t="s">
        <v>190</v>
      </c>
      <c r="B1" s="139"/>
    </row>
    <row r="2" spans="1:2" s="133" customFormat="1" ht="30" customHeight="1" x14ac:dyDescent="0.2">
      <c r="A2" s="145" t="s">
        <v>193</v>
      </c>
      <c r="B2" s="139"/>
    </row>
    <row r="3" spans="1:2" s="131" customFormat="1" x14ac:dyDescent="0.2">
      <c r="A3" s="140" t="s">
        <v>188</v>
      </c>
      <c r="B3" s="141" t="s">
        <v>189</v>
      </c>
    </row>
    <row r="4" spans="1:2" s="65" customFormat="1" ht="25.5" x14ac:dyDescent="0.2">
      <c r="A4" s="137" t="s">
        <v>191</v>
      </c>
      <c r="B4" s="138" t="s">
        <v>192</v>
      </c>
    </row>
    <row r="5" spans="1:2" s="65" customFormat="1" ht="178.5" x14ac:dyDescent="0.2">
      <c r="A5" s="136">
        <v>43133</v>
      </c>
      <c r="B5" s="138" t="s">
        <v>195</v>
      </c>
    </row>
    <row r="6" spans="1:2" s="65" customFormat="1" ht="25.5" x14ac:dyDescent="0.2">
      <c r="A6" s="136">
        <v>43501</v>
      </c>
      <c r="B6" s="138" t="s">
        <v>198</v>
      </c>
    </row>
    <row r="7" spans="1:2" ht="114.75" x14ac:dyDescent="0.2">
      <c r="A7" s="134">
        <v>43880</v>
      </c>
      <c r="B7" s="135" t="s">
        <v>196</v>
      </c>
    </row>
    <row r="8" spans="1:2" ht="191.25" x14ac:dyDescent="0.2">
      <c r="A8" s="134">
        <v>44601</v>
      </c>
      <c r="B8" s="135" t="s">
        <v>197</v>
      </c>
    </row>
    <row r="11" spans="1:2" x14ac:dyDescent="0.2">
      <c r="A11" s="144"/>
    </row>
  </sheetData>
  <sheetProtection password="AB33" sheet="1" selectLockedCells="1"/>
  <pageMargins left="0.2" right="0.2" top="0.25" bottom="0.25" header="0.3" footer="0.3"/>
  <pageSetup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68D2E"/>
    <pageSetUpPr fitToPage="1"/>
  </sheetPr>
  <dimension ref="B1:F38"/>
  <sheetViews>
    <sheetView showGridLines="0" tabSelected="1" workbookViewId="0">
      <selection activeCell="D4" sqref="D4:E4"/>
    </sheetView>
  </sheetViews>
  <sheetFormatPr defaultRowHeight="12.75" x14ac:dyDescent="0.2"/>
  <cols>
    <col min="1" max="1" width="2" customWidth="1"/>
    <col min="2" max="2" width="14.85546875" customWidth="1"/>
    <col min="3" max="3" width="56.28515625" customWidth="1"/>
    <col min="4" max="5" width="16.7109375" customWidth="1"/>
    <col min="7" max="7" width="9.140625" customWidth="1"/>
  </cols>
  <sheetData>
    <row r="1" spans="2:6" x14ac:dyDescent="0.2">
      <c r="E1" s="128"/>
    </row>
    <row r="2" spans="2:6" ht="21.75" customHeight="1" x14ac:dyDescent="0.25">
      <c r="B2" s="174" t="s">
        <v>16</v>
      </c>
      <c r="C2" s="174"/>
      <c r="D2" s="174"/>
      <c r="E2" s="174"/>
    </row>
    <row r="3" spans="2:6" ht="15.75" customHeight="1" x14ac:dyDescent="0.2">
      <c r="B3" s="175" t="s">
        <v>91</v>
      </c>
      <c r="C3" s="176"/>
      <c r="D3" s="176"/>
      <c r="E3" s="177"/>
    </row>
    <row r="4" spans="2:6" ht="15.75" customHeight="1" x14ac:dyDescent="0.25">
      <c r="B4" s="149" t="s">
        <v>56</v>
      </c>
      <c r="C4" s="150"/>
      <c r="D4" s="178"/>
      <c r="E4" s="179"/>
    </row>
    <row r="5" spans="2:6" ht="15.75" customHeight="1" x14ac:dyDescent="0.25">
      <c r="B5" s="149" t="s">
        <v>14</v>
      </c>
      <c r="C5" s="150"/>
      <c r="D5" s="178"/>
      <c r="E5" s="179"/>
    </row>
    <row r="6" spans="2:6" ht="21.75" customHeight="1" x14ac:dyDescent="0.25">
      <c r="B6" s="180" t="s">
        <v>15</v>
      </c>
      <c r="C6" s="181"/>
      <c r="D6" s="181"/>
      <c r="E6" s="182"/>
    </row>
    <row r="7" spans="2:6" ht="15.75" customHeight="1" x14ac:dyDescent="0.25">
      <c r="B7" s="149" t="s">
        <v>47</v>
      </c>
      <c r="C7" s="150"/>
      <c r="D7" s="178"/>
      <c r="E7" s="179"/>
    </row>
    <row r="8" spans="2:6" ht="15.75" x14ac:dyDescent="0.25">
      <c r="B8" s="183" t="s">
        <v>75</v>
      </c>
      <c r="C8" s="184"/>
      <c r="D8" s="185"/>
      <c r="E8" s="186"/>
    </row>
    <row r="9" spans="2:6" ht="15.75" x14ac:dyDescent="0.25">
      <c r="B9" s="158" t="s">
        <v>76</v>
      </c>
      <c r="C9" s="159"/>
      <c r="D9" s="187"/>
      <c r="E9" s="188"/>
    </row>
    <row r="10" spans="2:6" ht="15.75" x14ac:dyDescent="0.25">
      <c r="B10" s="183" t="s">
        <v>77</v>
      </c>
      <c r="C10" s="184"/>
      <c r="D10" s="185"/>
      <c r="E10" s="186"/>
    </row>
    <row r="11" spans="2:6" ht="21.75" customHeight="1" x14ac:dyDescent="0.25">
      <c r="B11" s="191" t="s">
        <v>19</v>
      </c>
      <c r="C11" s="192"/>
      <c r="D11" s="193"/>
      <c r="E11" s="194"/>
    </row>
    <row r="12" spans="2:6" ht="15.75" x14ac:dyDescent="0.25">
      <c r="B12" s="197"/>
      <c r="C12" s="194"/>
      <c r="D12" s="59" t="s">
        <v>9</v>
      </c>
      <c r="E12" s="60" t="s">
        <v>0</v>
      </c>
    </row>
    <row r="13" spans="2:6" ht="16.5" customHeight="1" x14ac:dyDescent="0.2">
      <c r="B13" s="195" t="s">
        <v>90</v>
      </c>
      <c r="C13" s="196"/>
      <c r="D13" s="23" t="str">
        <f>IF(D7="","",LOOKUP(D7,'CPI Data'!H7:H28,'CPI Data'!F7:F28))</f>
        <v/>
      </c>
      <c r="E13" s="24" t="str">
        <f>IF(D7="","",LOOKUP(D7,'CPI Data'!H7:H28,'CPI Data'!G7:G28))</f>
        <v/>
      </c>
    </row>
    <row r="14" spans="2:6" ht="15" x14ac:dyDescent="0.2">
      <c r="B14" s="189" t="s">
        <v>85</v>
      </c>
      <c r="C14" s="190"/>
      <c r="D14" s="61" t="str">
        <f>IF(OR(D9="",D8=""),"",(D8*(1-D9))/2)</f>
        <v/>
      </c>
      <c r="E14" s="62" t="str">
        <f>IF(OR(D9="",D8=""),"",(D8*D9)/2)</f>
        <v/>
      </c>
    </row>
    <row r="15" spans="2:6" ht="16.5" customHeight="1" x14ac:dyDescent="0.2">
      <c r="B15" s="189" t="s">
        <v>86</v>
      </c>
      <c r="C15" s="190"/>
      <c r="D15" s="23" t="str">
        <f>IF(OR(D13="",D14=""),"",(D14*D13))</f>
        <v/>
      </c>
      <c r="E15" s="24" t="str">
        <f>IF(OR(E13="",E14=""),"",(E14*E13))</f>
        <v/>
      </c>
      <c r="F15" s="58"/>
    </row>
    <row r="16" spans="2:6" ht="16.5" customHeight="1" x14ac:dyDescent="0.2">
      <c r="B16" s="189" t="s">
        <v>87</v>
      </c>
      <c r="C16" s="190"/>
      <c r="D16" s="200" t="str">
        <f>IF(OR(D15="",E15=""),"",D15+E15)</f>
        <v/>
      </c>
      <c r="E16" s="201"/>
      <c r="F16" s="58"/>
    </row>
    <row r="17" spans="2:6" ht="16.5" customHeight="1" x14ac:dyDescent="0.2">
      <c r="B17" s="189" t="s">
        <v>88</v>
      </c>
      <c r="C17" s="190"/>
      <c r="D17" s="200" t="str">
        <f>IF(OR(D10="",D16=""),"",D16/D10)</f>
        <v/>
      </c>
      <c r="E17" s="201"/>
      <c r="F17" s="58"/>
    </row>
    <row r="18" spans="2:6" ht="16.5" customHeight="1" x14ac:dyDescent="0.2">
      <c r="B18" s="189" t="s">
        <v>89</v>
      </c>
      <c r="C18" s="190"/>
      <c r="D18" s="200" t="str">
        <f>IF(D17="","",D17/24)</f>
        <v/>
      </c>
      <c r="E18" s="201"/>
      <c r="F18" s="58"/>
    </row>
    <row r="19" spans="2:6" ht="16.5" customHeight="1" x14ac:dyDescent="0.2">
      <c r="B19" s="189" t="s">
        <v>97</v>
      </c>
      <c r="C19" s="190"/>
      <c r="D19" s="200" t="str">
        <f>IF(D18="","",(D18/60))</f>
        <v/>
      </c>
      <c r="E19" s="201"/>
      <c r="F19" s="58"/>
    </row>
    <row r="20" spans="2:6" s="80" customFormat="1" ht="16.5" customHeight="1" x14ac:dyDescent="0.25">
      <c r="B20" s="202" t="s">
        <v>132</v>
      </c>
      <c r="C20" s="203"/>
      <c r="D20" s="204" t="str">
        <f>IF(D19="","(MISSING INPUT)",_xlfn.FLOOR.MATH(D19,5))</f>
        <v>(MISSING INPUT)</v>
      </c>
      <c r="E20" s="205"/>
      <c r="F20" s="79"/>
    </row>
    <row r="21" spans="2:6" s="66" customFormat="1" ht="15" customHeight="1" x14ac:dyDescent="0.25">
      <c r="B21" s="63"/>
      <c r="C21" s="63"/>
      <c r="D21" s="64"/>
      <c r="E21" s="64"/>
      <c r="F21" s="65"/>
    </row>
    <row r="22" spans="2:6" s="66" customFormat="1" ht="15" customHeight="1" x14ac:dyDescent="0.25">
      <c r="B22" s="191" t="s">
        <v>141</v>
      </c>
      <c r="C22" s="192"/>
      <c r="D22" s="193"/>
      <c r="E22" s="194"/>
      <c r="F22" s="65"/>
    </row>
    <row r="23" spans="2:6" s="66" customFormat="1" ht="75" customHeight="1" x14ac:dyDescent="0.2">
      <c r="B23" s="206"/>
      <c r="C23" s="206"/>
      <c r="D23" s="206"/>
      <c r="E23" s="206"/>
      <c r="F23" s="65"/>
    </row>
    <row r="24" spans="2:6" s="66" customFormat="1" ht="15" customHeight="1" x14ac:dyDescent="0.25">
      <c r="B24" s="63"/>
      <c r="C24" s="63"/>
      <c r="D24" s="64"/>
      <c r="E24" s="129" t="s">
        <v>187</v>
      </c>
      <c r="F24" s="65"/>
    </row>
    <row r="25" spans="2:6" ht="39.950000000000003" customHeight="1" x14ac:dyDescent="0.2">
      <c r="B25" s="199" t="s">
        <v>78</v>
      </c>
      <c r="C25" s="199"/>
      <c r="D25" s="199"/>
      <c r="E25" s="199"/>
    </row>
    <row r="26" spans="2:6" ht="6" customHeight="1" x14ac:dyDescent="0.2"/>
    <row r="27" spans="2:6" ht="39.950000000000003" customHeight="1" x14ac:dyDescent="0.2">
      <c r="B27" s="199" t="s">
        <v>130</v>
      </c>
      <c r="C27" s="199"/>
      <c r="D27" s="199"/>
      <c r="E27" s="199"/>
    </row>
    <row r="28" spans="2:6" x14ac:dyDescent="0.2">
      <c r="B28" s="47" t="s">
        <v>39</v>
      </c>
      <c r="C28" s="50">
        <f ca="1">TODAY()</f>
        <v>44601</v>
      </c>
      <c r="D28" s="47"/>
      <c r="E28" s="47"/>
    </row>
    <row r="29" spans="2:6" x14ac:dyDescent="0.2">
      <c r="B29" s="47"/>
      <c r="C29" s="50"/>
      <c r="D29" s="47"/>
      <c r="E29" s="47"/>
    </row>
    <row r="30" spans="2:6" x14ac:dyDescent="0.2">
      <c r="B30" t="s">
        <v>1</v>
      </c>
    </row>
    <row r="31" spans="2:6" x14ac:dyDescent="0.2">
      <c r="B31" s="47"/>
      <c r="C31" s="50"/>
      <c r="D31" s="47"/>
      <c r="E31" s="47"/>
    </row>
    <row r="32" spans="2:6" x14ac:dyDescent="0.2">
      <c r="B32" s="77" t="s">
        <v>83</v>
      </c>
    </row>
    <row r="33" spans="2:5" x14ac:dyDescent="0.2">
      <c r="B33" s="198" t="s">
        <v>79</v>
      </c>
      <c r="C33" s="198"/>
      <c r="D33" s="198"/>
      <c r="E33" s="198"/>
    </row>
    <row r="34" spans="2:5" x14ac:dyDescent="0.2">
      <c r="B34" s="198" t="s">
        <v>140</v>
      </c>
      <c r="C34" s="198"/>
      <c r="D34" s="198"/>
      <c r="E34" s="198"/>
    </row>
    <row r="35" spans="2:5" x14ac:dyDescent="0.2">
      <c r="B35" s="198" t="s">
        <v>82</v>
      </c>
      <c r="C35" s="198"/>
      <c r="D35" s="198"/>
      <c r="E35" s="198"/>
    </row>
    <row r="36" spans="2:5" ht="27.95" customHeight="1" x14ac:dyDescent="0.2">
      <c r="B36" s="198" t="s">
        <v>80</v>
      </c>
      <c r="C36" s="198"/>
      <c r="D36" s="198"/>
      <c r="E36" s="198"/>
    </row>
    <row r="37" spans="2:5" ht="69.95" customHeight="1" x14ac:dyDescent="0.2">
      <c r="B37" s="198" t="s">
        <v>81</v>
      </c>
      <c r="C37" s="198"/>
      <c r="D37" s="198"/>
      <c r="E37" s="198"/>
    </row>
    <row r="38" spans="2:5" x14ac:dyDescent="0.2">
      <c r="C38" s="198"/>
      <c r="D38" s="199"/>
      <c r="E38" s="199"/>
    </row>
  </sheetData>
  <sheetProtection password="AB33" sheet="1" selectLockedCells="1"/>
  <mergeCells count="40">
    <mergeCell ref="B20:C20"/>
    <mergeCell ref="B33:E33"/>
    <mergeCell ref="B35:E35"/>
    <mergeCell ref="B36:E36"/>
    <mergeCell ref="B37:E37"/>
    <mergeCell ref="D20:E20"/>
    <mergeCell ref="B27:E27"/>
    <mergeCell ref="B34:E34"/>
    <mergeCell ref="B22:E22"/>
    <mergeCell ref="B23:E23"/>
    <mergeCell ref="C38:E38"/>
    <mergeCell ref="D16:E16"/>
    <mergeCell ref="D17:E17"/>
    <mergeCell ref="B19:C19"/>
    <mergeCell ref="D19:E19"/>
    <mergeCell ref="B18:C18"/>
    <mergeCell ref="D18:E18"/>
    <mergeCell ref="B16:C16"/>
    <mergeCell ref="B17:C17"/>
    <mergeCell ref="B25:E25"/>
    <mergeCell ref="D10:E10"/>
    <mergeCell ref="B14:C14"/>
    <mergeCell ref="B11:E11"/>
    <mergeCell ref="B13:C13"/>
    <mergeCell ref="B12:C12"/>
    <mergeCell ref="B15:C15"/>
    <mergeCell ref="B10:C10"/>
    <mergeCell ref="B6:E6"/>
    <mergeCell ref="B7:C7"/>
    <mergeCell ref="D7:E7"/>
    <mergeCell ref="B8:C8"/>
    <mergeCell ref="D8:E8"/>
    <mergeCell ref="B9:C9"/>
    <mergeCell ref="D9:E9"/>
    <mergeCell ref="B2:E2"/>
    <mergeCell ref="B3:E3"/>
    <mergeCell ref="B4:C4"/>
    <mergeCell ref="D4:E4"/>
    <mergeCell ref="B5:C5"/>
    <mergeCell ref="D5:E5"/>
  </mergeCells>
  <printOptions horizontalCentered="1"/>
  <pageMargins left="0.75" right="0.75" top="1" bottom="1" header="0.5" footer="0.5"/>
  <pageSetup scale="8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68D2E"/>
    <pageSetUpPr fitToPage="1"/>
  </sheetPr>
  <dimension ref="A24:E47"/>
  <sheetViews>
    <sheetView topLeftCell="A13" workbookViewId="0">
      <selection activeCell="W58" sqref="W58"/>
    </sheetView>
  </sheetViews>
  <sheetFormatPr defaultRowHeight="12.75" x14ac:dyDescent="0.2"/>
  <sheetData>
    <row r="24" spans="2:5" x14ac:dyDescent="0.2">
      <c r="B24" s="58"/>
    </row>
    <row r="25" spans="2:5" ht="15.75" x14ac:dyDescent="0.3">
      <c r="B25" s="58" t="s">
        <v>105</v>
      </c>
    </row>
    <row r="27" spans="2:5" ht="15.75" x14ac:dyDescent="0.3">
      <c r="C27" s="58" t="s">
        <v>106</v>
      </c>
      <c r="D27" s="58"/>
    </row>
    <row r="28" spans="2:5" ht="15.75" x14ac:dyDescent="0.3">
      <c r="D28" s="58" t="s">
        <v>108</v>
      </c>
    </row>
    <row r="29" spans="2:5" ht="15.75" x14ac:dyDescent="0.3">
      <c r="D29" s="58" t="s">
        <v>109</v>
      </c>
    </row>
    <row r="30" spans="2:5" ht="15.75" x14ac:dyDescent="0.3">
      <c r="D30" s="58" t="s">
        <v>110</v>
      </c>
    </row>
    <row r="31" spans="2:5" x14ac:dyDescent="0.2">
      <c r="D31" s="58"/>
      <c r="E31" s="58" t="s">
        <v>111</v>
      </c>
    </row>
    <row r="32" spans="2:5" ht="15.75" x14ac:dyDescent="0.3">
      <c r="D32" s="58" t="s">
        <v>112</v>
      </c>
    </row>
    <row r="33" spans="1:5" x14ac:dyDescent="0.2">
      <c r="D33" s="58"/>
    </row>
    <row r="34" spans="1:5" ht="15.75" x14ac:dyDescent="0.3">
      <c r="C34" s="58" t="s">
        <v>107</v>
      </c>
    </row>
    <row r="35" spans="1:5" ht="15.75" x14ac:dyDescent="0.3">
      <c r="D35" s="58" t="s">
        <v>113</v>
      </c>
    </row>
    <row r="36" spans="1:5" ht="15.75" x14ac:dyDescent="0.3">
      <c r="D36" s="58" t="s">
        <v>114</v>
      </c>
    </row>
    <row r="37" spans="1:5" ht="15.75" x14ac:dyDescent="0.3">
      <c r="D37" s="58" t="s">
        <v>115</v>
      </c>
    </row>
    <row r="38" spans="1:5" x14ac:dyDescent="0.2">
      <c r="D38" s="58"/>
      <c r="E38" s="58" t="s">
        <v>116</v>
      </c>
    </row>
    <row r="39" spans="1:5" ht="15.75" x14ac:dyDescent="0.3">
      <c r="D39" s="58" t="s">
        <v>117</v>
      </c>
    </row>
    <row r="40" spans="1:5" x14ac:dyDescent="0.2">
      <c r="D40" s="58"/>
    </row>
    <row r="41" spans="1:5" ht="15.75" x14ac:dyDescent="0.3">
      <c r="B41" s="58" t="s">
        <v>118</v>
      </c>
    </row>
    <row r="42" spans="1:5" ht="15.75" x14ac:dyDescent="0.3">
      <c r="B42" s="58" t="s">
        <v>119</v>
      </c>
    </row>
    <row r="43" spans="1:5" ht="15.75" x14ac:dyDescent="0.3">
      <c r="B43" s="58" t="s">
        <v>120</v>
      </c>
      <c r="E43" s="58"/>
    </row>
    <row r="44" spans="1:5" x14ac:dyDescent="0.2">
      <c r="C44" s="58"/>
    </row>
    <row r="45" spans="1:5" x14ac:dyDescent="0.2">
      <c r="A45" s="85" t="s">
        <v>103</v>
      </c>
    </row>
    <row r="47" spans="1:5" x14ac:dyDescent="0.2">
      <c r="A47" t="s">
        <v>1</v>
      </c>
    </row>
  </sheetData>
  <sheetProtection password="AB33" sheet="1" objects="1" scenarios="1" selectLockedCells="1"/>
  <pageMargins left="0.2" right="0.2" top="0" bottom="0" header="0.3" footer="0.3"/>
  <pageSetup scale="9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68D2E"/>
    <pageSetUpPr fitToPage="1"/>
  </sheetPr>
  <dimension ref="B2:F19"/>
  <sheetViews>
    <sheetView workbookViewId="0">
      <selection activeCell="D4" sqref="D4:E4"/>
    </sheetView>
  </sheetViews>
  <sheetFormatPr defaultRowHeight="12.75" x14ac:dyDescent="0.2"/>
  <cols>
    <col min="1" max="1" width="2.28515625" style="33" customWidth="1"/>
    <col min="2" max="2" width="14.85546875" style="33" customWidth="1"/>
    <col min="3" max="3" width="48.5703125" style="33" customWidth="1"/>
    <col min="4" max="5" width="16.7109375" style="33" customWidth="1"/>
    <col min="6" max="6" width="2.28515625" style="33" customWidth="1"/>
    <col min="7" max="16384" width="9.140625" style="33"/>
  </cols>
  <sheetData>
    <row r="2" spans="2:6" ht="21.75" customHeight="1" x14ac:dyDescent="0.25">
      <c r="B2" s="211" t="s">
        <v>72</v>
      </c>
      <c r="C2" s="211"/>
      <c r="D2" s="211"/>
      <c r="E2" s="211"/>
    </row>
    <row r="3" spans="2:6" ht="15.75" x14ac:dyDescent="0.2">
      <c r="B3" s="212" t="s">
        <v>139</v>
      </c>
      <c r="C3" s="213"/>
      <c r="D3" s="213"/>
      <c r="E3" s="214"/>
    </row>
    <row r="4" spans="2:6" ht="15.75" x14ac:dyDescent="0.25">
      <c r="B4" s="149" t="s">
        <v>56</v>
      </c>
      <c r="C4" s="150"/>
      <c r="D4" s="178" t="s">
        <v>60</v>
      </c>
      <c r="E4" s="179"/>
    </row>
    <row r="5" spans="2:6" ht="15.75" x14ac:dyDescent="0.25">
      <c r="B5" s="149" t="s">
        <v>14</v>
      </c>
      <c r="C5" s="150"/>
      <c r="D5" s="178"/>
      <c r="E5" s="179"/>
    </row>
    <row r="6" spans="2:6" ht="21.75" customHeight="1" x14ac:dyDescent="0.25">
      <c r="B6" s="197" t="s">
        <v>15</v>
      </c>
      <c r="C6" s="193"/>
      <c r="D6" s="193"/>
      <c r="E6" s="194"/>
    </row>
    <row r="7" spans="2:6" ht="15.75" customHeight="1" x14ac:dyDescent="0.2">
      <c r="B7" s="216" t="s">
        <v>71</v>
      </c>
      <c r="C7" s="217"/>
      <c r="D7" s="217"/>
      <c r="E7" s="218"/>
    </row>
    <row r="8" spans="2:6" ht="15.75" customHeight="1" x14ac:dyDescent="0.2">
      <c r="B8" s="216" t="s">
        <v>73</v>
      </c>
      <c r="C8" s="217"/>
      <c r="D8" s="217"/>
      <c r="E8" s="218"/>
    </row>
    <row r="9" spans="2:6" s="74" customFormat="1" ht="15.75" x14ac:dyDescent="0.25">
      <c r="B9" s="207" t="s">
        <v>68</v>
      </c>
      <c r="C9" s="208"/>
      <c r="D9" s="209"/>
      <c r="E9" s="210"/>
    </row>
    <row r="10" spans="2:6" s="74" customFormat="1" ht="15.75" x14ac:dyDescent="0.25">
      <c r="B10" s="219" t="s">
        <v>69</v>
      </c>
      <c r="C10" s="220"/>
      <c r="D10" s="221"/>
      <c r="E10" s="222"/>
    </row>
    <row r="11" spans="2:6" ht="16.5" customHeight="1" x14ac:dyDescent="0.2">
      <c r="B11" s="189" t="s">
        <v>70</v>
      </c>
      <c r="C11" s="190"/>
      <c r="D11" s="223" t="str">
        <f>IF(OR(D9="",D10=""),"",(D10-D9)*1440)</f>
        <v/>
      </c>
      <c r="E11" s="224"/>
      <c r="F11" s="69"/>
    </row>
    <row r="12" spans="2:6" ht="15.75" x14ac:dyDescent="0.25">
      <c r="B12" s="225" t="s">
        <v>67</v>
      </c>
      <c r="C12" s="226"/>
      <c r="D12" s="185"/>
      <c r="E12" s="186"/>
    </row>
    <row r="13" spans="2:6" ht="16.5" customHeight="1" x14ac:dyDescent="0.25">
      <c r="B13" s="202" t="s">
        <v>84</v>
      </c>
      <c r="C13" s="203"/>
      <c r="D13" s="204" t="str">
        <f>IF(OR('Lane(s) Closed on Mainline'!D20:E20="",D11="",D12=""),"",IF('Lane(s) Closed on Mainline'!D20:E20="(MISSING INPUT)","(MISSING INPUT ABOVE)",'Lane(s) Closed on Mainline'!D20:E20*D11*D12))</f>
        <v/>
      </c>
      <c r="E13" s="205"/>
      <c r="F13" s="78"/>
    </row>
    <row r="14" spans="2:6" s="71" customFormat="1" ht="16.5" customHeight="1" x14ac:dyDescent="0.25">
      <c r="B14" s="63"/>
      <c r="C14" s="63"/>
      <c r="D14" s="64"/>
      <c r="E14" s="129" t="s">
        <v>199</v>
      </c>
      <c r="F14" s="70"/>
    </row>
    <row r="15" spans="2:6" ht="69.95" customHeight="1" x14ac:dyDescent="0.2">
      <c r="B15" s="215" t="s">
        <v>104</v>
      </c>
      <c r="C15" s="215"/>
      <c r="D15" s="215"/>
      <c r="E15" s="215"/>
    </row>
    <row r="16" spans="2:6" ht="6" customHeight="1" x14ac:dyDescent="0.2"/>
    <row r="17" spans="2:5" x14ac:dyDescent="0.2">
      <c r="B17" s="72" t="s">
        <v>39</v>
      </c>
      <c r="C17" s="73">
        <f ca="1">TODAY()</f>
        <v>44601</v>
      </c>
      <c r="D17" s="72"/>
      <c r="E17" s="72"/>
    </row>
    <row r="18" spans="2:5" ht="6" customHeight="1" x14ac:dyDescent="0.2"/>
    <row r="19" spans="2:5" x14ac:dyDescent="0.2">
      <c r="B19" s="33" t="s">
        <v>1</v>
      </c>
    </row>
  </sheetData>
  <sheetProtection password="AB33" sheet="1" objects="1" scenarios="1" selectLockedCells="1"/>
  <mergeCells count="20">
    <mergeCell ref="B13:C13"/>
    <mergeCell ref="D13:E13"/>
    <mergeCell ref="B15:E15"/>
    <mergeCell ref="B7:E7"/>
    <mergeCell ref="B8:E8"/>
    <mergeCell ref="B10:C10"/>
    <mergeCell ref="D10:E10"/>
    <mergeCell ref="B11:C11"/>
    <mergeCell ref="D11:E11"/>
    <mergeCell ref="B12:C12"/>
    <mergeCell ref="D12:E12"/>
    <mergeCell ref="B9:C9"/>
    <mergeCell ref="D9:E9"/>
    <mergeCell ref="B6:E6"/>
    <mergeCell ref="B2:E2"/>
    <mergeCell ref="B3:E3"/>
    <mergeCell ref="B4:C4"/>
    <mergeCell ref="D4:E4"/>
    <mergeCell ref="B5:C5"/>
    <mergeCell ref="D5:E5"/>
  </mergeCells>
  <pageMargins left="0.7" right="0.7" top="0.75" bottom="0.75" header="0.3" footer="0.3"/>
  <pageSetup scale="91"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C582A"/>
    <pageSetUpPr fitToPage="1"/>
  </sheetPr>
  <dimension ref="B2:G31"/>
  <sheetViews>
    <sheetView showGridLines="0" workbookViewId="0">
      <selection activeCell="D4" sqref="D4:E4"/>
    </sheetView>
  </sheetViews>
  <sheetFormatPr defaultRowHeight="12.75" x14ac:dyDescent="0.2"/>
  <cols>
    <col min="1" max="1" width="2.28515625" customWidth="1"/>
    <col min="2" max="2" width="14.85546875" customWidth="1"/>
    <col min="3" max="3" width="56.28515625" customWidth="1"/>
    <col min="4" max="5" width="16.7109375" customWidth="1"/>
    <col min="6" max="6" width="2.28515625" customWidth="1"/>
    <col min="7" max="7" width="9.140625" customWidth="1"/>
  </cols>
  <sheetData>
    <row r="2" spans="2:7" ht="21.75" customHeight="1" x14ac:dyDescent="0.25">
      <c r="B2" s="174" t="s">
        <v>16</v>
      </c>
      <c r="C2" s="174"/>
      <c r="D2" s="174"/>
      <c r="E2" s="174"/>
      <c r="G2" s="83" t="s">
        <v>137</v>
      </c>
    </row>
    <row r="3" spans="2:7" ht="15.75" customHeight="1" x14ac:dyDescent="0.2">
      <c r="B3" s="175" t="s">
        <v>138</v>
      </c>
      <c r="C3" s="176"/>
      <c r="D3" s="176"/>
      <c r="E3" s="177"/>
    </row>
    <row r="4" spans="2:7" ht="15.75" customHeight="1" x14ac:dyDescent="0.25">
      <c r="B4" s="149" t="s">
        <v>56</v>
      </c>
      <c r="C4" s="150"/>
      <c r="D4" s="227" t="s">
        <v>60</v>
      </c>
      <c r="E4" s="228"/>
    </row>
    <row r="5" spans="2:7" ht="15.75" customHeight="1" x14ac:dyDescent="0.25">
      <c r="B5" s="149" t="s">
        <v>129</v>
      </c>
      <c r="C5" s="150"/>
      <c r="D5" s="227"/>
      <c r="E5" s="228"/>
    </row>
    <row r="6" spans="2:7" ht="21.75" customHeight="1" x14ac:dyDescent="0.25">
      <c r="B6" s="167" t="s">
        <v>15</v>
      </c>
      <c r="C6" s="168"/>
      <c r="D6" s="168"/>
      <c r="E6" s="169"/>
    </row>
    <row r="7" spans="2:7" ht="15.75" customHeight="1" x14ac:dyDescent="0.25">
      <c r="B7" s="149" t="s">
        <v>47</v>
      </c>
      <c r="C7" s="150"/>
      <c r="D7" s="227"/>
      <c r="E7" s="228"/>
    </row>
    <row r="8" spans="2:7" ht="15.75" x14ac:dyDescent="0.25">
      <c r="B8" s="183" t="s">
        <v>136</v>
      </c>
      <c r="C8" s="184"/>
      <c r="D8" s="229"/>
      <c r="E8" s="230"/>
    </row>
    <row r="9" spans="2:7" ht="15.75" x14ac:dyDescent="0.25">
      <c r="B9" s="158" t="s">
        <v>122</v>
      </c>
      <c r="C9" s="159"/>
      <c r="D9" s="231"/>
      <c r="E9" s="232"/>
    </row>
    <row r="10" spans="2:7" ht="15.75" x14ac:dyDescent="0.25">
      <c r="B10" s="183" t="s">
        <v>123</v>
      </c>
      <c r="C10" s="184"/>
      <c r="D10" s="229"/>
      <c r="E10" s="230"/>
    </row>
    <row r="11" spans="2:7" ht="21.75" customHeight="1" x14ac:dyDescent="0.25">
      <c r="B11" s="191" t="s">
        <v>19</v>
      </c>
      <c r="C11" s="192"/>
      <c r="D11" s="193"/>
      <c r="E11" s="194"/>
    </row>
    <row r="12" spans="2:7" ht="15.75" x14ac:dyDescent="0.25">
      <c r="B12" s="197"/>
      <c r="C12" s="194"/>
      <c r="D12" s="59" t="s">
        <v>9</v>
      </c>
      <c r="E12" s="60" t="s">
        <v>0</v>
      </c>
    </row>
    <row r="13" spans="2:7" ht="16.5" customHeight="1" x14ac:dyDescent="0.2">
      <c r="B13" s="195" t="s">
        <v>90</v>
      </c>
      <c r="C13" s="196"/>
      <c r="D13" s="82" t="str">
        <f>IF(D7="","",LOOKUP(D7,'CPI Data'!H7:H28,'CPI Data'!F7:F28))</f>
        <v/>
      </c>
      <c r="E13" s="24" t="str">
        <f>IF(D7="","",LOOKUP(D7,'CPI Data'!H7:H28,'CPI Data'!G7:G28))</f>
        <v/>
      </c>
    </row>
    <row r="14" spans="2:7" ht="15" x14ac:dyDescent="0.2">
      <c r="B14" s="189" t="s">
        <v>121</v>
      </c>
      <c r="C14" s="190"/>
      <c r="D14" s="61" t="str">
        <f>IF(OR(D9="",D8=""),"",(D8*(1-D9)))</f>
        <v/>
      </c>
      <c r="E14" s="62" t="str">
        <f>IF(OR(D9="",D8=""),"",(D8*D9))</f>
        <v/>
      </c>
    </row>
    <row r="15" spans="2:7" ht="16.5" customHeight="1" x14ac:dyDescent="0.2">
      <c r="B15" s="189" t="s">
        <v>124</v>
      </c>
      <c r="C15" s="190"/>
      <c r="D15" s="82" t="str">
        <f>IF(OR(D13="",D14=""),"",(D14*D13))</f>
        <v/>
      </c>
      <c r="E15" s="24" t="str">
        <f>IF(OR(E13="",E14=""),"",(E14*E13))</f>
        <v/>
      </c>
      <c r="F15" s="58"/>
    </row>
    <row r="16" spans="2:7" ht="16.5" customHeight="1" x14ac:dyDescent="0.2">
      <c r="B16" s="189" t="s">
        <v>125</v>
      </c>
      <c r="C16" s="190"/>
      <c r="D16" s="200" t="str">
        <f>IF(OR(D15="",E15=""),"",D15+E15)</f>
        <v/>
      </c>
      <c r="E16" s="201"/>
      <c r="F16" s="58"/>
    </row>
    <row r="17" spans="2:6" ht="16.5" customHeight="1" x14ac:dyDescent="0.2">
      <c r="B17" s="189" t="s">
        <v>126</v>
      </c>
      <c r="C17" s="190"/>
      <c r="D17" s="200" t="str">
        <f>IF(OR(D10="",D16=""),"",D16/D10)</f>
        <v/>
      </c>
      <c r="E17" s="201"/>
      <c r="F17" s="58"/>
    </row>
    <row r="18" spans="2:6" ht="16.5" customHeight="1" x14ac:dyDescent="0.2">
      <c r="B18" s="189" t="s">
        <v>127</v>
      </c>
      <c r="C18" s="190"/>
      <c r="D18" s="200" t="str">
        <f>IF(D17="","",D17/24)</f>
        <v/>
      </c>
      <c r="E18" s="201"/>
      <c r="F18" s="58"/>
    </row>
    <row r="19" spans="2:6" ht="16.5" customHeight="1" x14ac:dyDescent="0.2">
      <c r="B19" s="189" t="s">
        <v>128</v>
      </c>
      <c r="C19" s="190"/>
      <c r="D19" s="200" t="str">
        <f>IF(D18="","",D18/60)</f>
        <v/>
      </c>
      <c r="E19" s="201"/>
      <c r="F19" s="58"/>
    </row>
    <row r="20" spans="2:6" s="80" customFormat="1" ht="16.5" customHeight="1" x14ac:dyDescent="0.25">
      <c r="B20" s="202" t="s">
        <v>133</v>
      </c>
      <c r="C20" s="203"/>
      <c r="D20" s="204" t="str">
        <f>IF(D19="","(MISSING INPUT)",_xlfn.FLOOR.MATH(D19,5))</f>
        <v>(MISSING INPUT)</v>
      </c>
      <c r="E20" s="205"/>
      <c r="F20" s="79"/>
    </row>
    <row r="21" spans="2:6" s="66" customFormat="1" ht="15" customHeight="1" x14ac:dyDescent="0.25">
      <c r="B21" s="63"/>
      <c r="C21" s="63"/>
      <c r="D21" s="64"/>
      <c r="E21" s="129" t="s">
        <v>199</v>
      </c>
      <c r="F21" s="65"/>
    </row>
    <row r="22" spans="2:6" ht="28.5" customHeight="1" x14ac:dyDescent="0.2">
      <c r="B22" s="199" t="s">
        <v>131</v>
      </c>
      <c r="C22" s="199"/>
      <c r="D22" s="199"/>
      <c r="E22" s="199"/>
    </row>
    <row r="23" spans="2:6" ht="6" customHeight="1" x14ac:dyDescent="0.2"/>
    <row r="24" spans="2:6" ht="28.5" customHeight="1" x14ac:dyDescent="0.2">
      <c r="B24" s="199" t="s">
        <v>134</v>
      </c>
      <c r="C24" s="199"/>
      <c r="D24" s="199"/>
      <c r="E24" s="199"/>
    </row>
    <row r="25" spans="2:6" ht="6" customHeight="1" x14ac:dyDescent="0.2">
      <c r="B25" s="84"/>
      <c r="C25" s="84"/>
      <c r="D25" s="84"/>
      <c r="E25" s="84"/>
    </row>
    <row r="26" spans="2:6" ht="39.950000000000003" customHeight="1" x14ac:dyDescent="0.2">
      <c r="B26" s="199" t="s">
        <v>135</v>
      </c>
      <c r="C26" s="199"/>
      <c r="D26" s="199"/>
      <c r="E26" s="199"/>
    </row>
    <row r="27" spans="2:6" ht="6" customHeight="1" x14ac:dyDescent="0.2"/>
    <row r="28" spans="2:6" x14ac:dyDescent="0.2">
      <c r="B28" s="47" t="s">
        <v>39</v>
      </c>
      <c r="C28" s="50">
        <f ca="1">TODAY()</f>
        <v>44601</v>
      </c>
      <c r="D28" s="47"/>
      <c r="E28" s="47"/>
    </row>
    <row r="29" spans="2:6" ht="6" customHeight="1" x14ac:dyDescent="0.2"/>
    <row r="30" spans="2:6" x14ac:dyDescent="0.2">
      <c r="B30" t="s">
        <v>1</v>
      </c>
    </row>
    <row r="31" spans="2:6" x14ac:dyDescent="0.2">
      <c r="B31" s="47"/>
      <c r="C31" s="50"/>
      <c r="D31" s="47"/>
      <c r="E31" s="47"/>
    </row>
  </sheetData>
  <sheetProtection password="AB33" sheet="1" selectLockedCells="1"/>
  <mergeCells count="33">
    <mergeCell ref="B26:E26"/>
    <mergeCell ref="B19:C19"/>
    <mergeCell ref="D19:E19"/>
    <mergeCell ref="B20:C20"/>
    <mergeCell ref="D20:E20"/>
    <mergeCell ref="B22:E22"/>
    <mergeCell ref="B24:E24"/>
    <mergeCell ref="B15:C15"/>
    <mergeCell ref="B16:C16"/>
    <mergeCell ref="D16:E16"/>
    <mergeCell ref="B17:C17"/>
    <mergeCell ref="D17:E17"/>
    <mergeCell ref="B18:C18"/>
    <mergeCell ref="D18:E18"/>
    <mergeCell ref="B10:C10"/>
    <mergeCell ref="D10:E10"/>
    <mergeCell ref="B11:E11"/>
    <mergeCell ref="B12:C12"/>
    <mergeCell ref="B13:C13"/>
    <mergeCell ref="B14:C14"/>
    <mergeCell ref="B6:E6"/>
    <mergeCell ref="B7:C7"/>
    <mergeCell ref="D7:E7"/>
    <mergeCell ref="B8:C8"/>
    <mergeCell ref="D8:E8"/>
    <mergeCell ref="B9:C9"/>
    <mergeCell ref="D9:E9"/>
    <mergeCell ref="B2:E2"/>
    <mergeCell ref="B3:E3"/>
    <mergeCell ref="B4:C4"/>
    <mergeCell ref="D4:E4"/>
    <mergeCell ref="B5:C5"/>
    <mergeCell ref="D5:E5"/>
  </mergeCells>
  <printOptions horizontalCentered="1"/>
  <pageMargins left="0.75" right="0.75" top="1" bottom="1" header="0.5" footer="0.5"/>
  <pageSetup scale="83"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E2A2B"/>
  </sheetPr>
  <dimension ref="B2:E32"/>
  <sheetViews>
    <sheetView showGridLines="0" workbookViewId="0">
      <selection activeCell="D4" sqref="D4:E4"/>
    </sheetView>
  </sheetViews>
  <sheetFormatPr defaultRowHeight="12.75" x14ac:dyDescent="0.2"/>
  <cols>
    <col min="1" max="1" width="2.28515625" customWidth="1"/>
    <col min="2" max="2" width="14.85546875" customWidth="1"/>
    <col min="3" max="3" width="34.140625" customWidth="1"/>
    <col min="4" max="4" width="14.7109375" customWidth="1"/>
    <col min="5" max="5" width="13.5703125" customWidth="1"/>
    <col min="6" max="6" width="2.28515625" customWidth="1"/>
  </cols>
  <sheetData>
    <row r="2" spans="2:5" ht="21.75" customHeight="1" x14ac:dyDescent="0.25">
      <c r="B2" s="211" t="s">
        <v>16</v>
      </c>
      <c r="C2" s="211"/>
      <c r="D2" s="211"/>
      <c r="E2" s="211"/>
    </row>
    <row r="3" spans="2:5" x14ac:dyDescent="0.2">
      <c r="B3" s="239" t="s">
        <v>28</v>
      </c>
      <c r="C3" s="240"/>
      <c r="D3" s="240"/>
      <c r="E3" s="241"/>
    </row>
    <row r="4" spans="2:5" ht="15.75" x14ac:dyDescent="0.25">
      <c r="B4" s="149" t="s">
        <v>56</v>
      </c>
      <c r="C4" s="150"/>
      <c r="D4" s="233"/>
      <c r="E4" s="234"/>
    </row>
    <row r="5" spans="2:5" ht="15.75" x14ac:dyDescent="0.25">
      <c r="B5" s="149" t="s">
        <v>14</v>
      </c>
      <c r="C5" s="150"/>
      <c r="D5" s="233"/>
      <c r="E5" s="234"/>
    </row>
    <row r="6" spans="2:5" ht="21.75" customHeight="1" x14ac:dyDescent="0.25">
      <c r="B6" s="197" t="s">
        <v>15</v>
      </c>
      <c r="C6" s="193"/>
      <c r="D6" s="193"/>
      <c r="E6" s="194"/>
    </row>
    <row r="7" spans="2:5" ht="15.75" customHeight="1" x14ac:dyDescent="0.25">
      <c r="B7" s="149" t="s">
        <v>47</v>
      </c>
      <c r="C7" s="150"/>
      <c r="D7" s="233"/>
      <c r="E7" s="234"/>
    </row>
    <row r="8" spans="2:5" ht="15.75" x14ac:dyDescent="0.25">
      <c r="B8" s="27"/>
      <c r="C8" s="28"/>
      <c r="D8" s="59" t="s">
        <v>9</v>
      </c>
      <c r="E8" s="60" t="s">
        <v>0</v>
      </c>
    </row>
    <row r="9" spans="2:5" ht="15.75" x14ac:dyDescent="0.25">
      <c r="B9" s="207" t="s">
        <v>48</v>
      </c>
      <c r="C9" s="208"/>
      <c r="D9" s="86"/>
      <c r="E9" s="87"/>
    </row>
    <row r="10" spans="2:5" ht="15.75" x14ac:dyDescent="0.25">
      <c r="B10" s="207" t="s">
        <v>29</v>
      </c>
      <c r="C10" s="208"/>
      <c r="D10" s="87"/>
      <c r="E10" s="87"/>
    </row>
    <row r="11" spans="2:5" ht="15.75" x14ac:dyDescent="0.25">
      <c r="B11" s="207" t="s">
        <v>30</v>
      </c>
      <c r="C11" s="208"/>
      <c r="D11" s="87"/>
      <c r="E11" s="87"/>
    </row>
    <row r="12" spans="2:5" ht="15.75" x14ac:dyDescent="0.25">
      <c r="B12" s="219" t="s">
        <v>25</v>
      </c>
      <c r="C12" s="220"/>
      <c r="D12" s="242"/>
      <c r="E12" s="243"/>
    </row>
    <row r="13" spans="2:5" ht="21.75" customHeight="1" x14ac:dyDescent="0.25">
      <c r="B13" s="191" t="s">
        <v>19</v>
      </c>
      <c r="C13" s="192"/>
      <c r="D13" s="193"/>
      <c r="E13" s="194"/>
    </row>
    <row r="14" spans="2:5" ht="16.5" customHeight="1" x14ac:dyDescent="0.2">
      <c r="B14" s="195" t="s">
        <v>92</v>
      </c>
      <c r="C14" s="196"/>
      <c r="D14" s="23" t="str">
        <f>IF(D7="","",LOOKUP(D7,'CPI Data'!H7:H28,'CPI Data'!F7:F28))</f>
        <v/>
      </c>
      <c r="E14" s="24" t="str">
        <f>IF(D7="","",LOOKUP(D7,'CPI Data'!H7:H28,'CPI Data'!G7:G28))</f>
        <v/>
      </c>
    </row>
    <row r="15" spans="2:5" ht="15" x14ac:dyDescent="0.2">
      <c r="B15" s="189" t="s">
        <v>31</v>
      </c>
      <c r="C15" s="190"/>
      <c r="D15" s="29" t="str">
        <f>IF((OR(D10="",D11="")),"",D11-D10)</f>
        <v/>
      </c>
      <c r="E15" s="29" t="str">
        <f>IF((OR(E10="",E11="")),"",E11-E10)</f>
        <v/>
      </c>
    </row>
    <row r="16" spans="2:5" ht="15" x14ac:dyDescent="0.2">
      <c r="B16" s="189" t="s">
        <v>21</v>
      </c>
      <c r="C16" s="190"/>
      <c r="D16" s="30" t="str">
        <f>IF(D15="","",D15/60)</f>
        <v/>
      </c>
      <c r="E16" s="30" t="str">
        <f>IF(E15="","",E15/60)</f>
        <v/>
      </c>
    </row>
    <row r="17" spans="2:5" ht="15" x14ac:dyDescent="0.2">
      <c r="B17" s="189" t="s">
        <v>41</v>
      </c>
      <c r="C17" s="190"/>
      <c r="D17" s="31" t="str">
        <f>IF((OR(D14="",D16="")),"",D16*D14)</f>
        <v/>
      </c>
      <c r="E17" s="31" t="str">
        <f>IF((OR(E14="",E16="")),"",E16*E14)</f>
        <v/>
      </c>
    </row>
    <row r="18" spans="2:5" ht="15" x14ac:dyDescent="0.2">
      <c r="B18" s="189" t="s">
        <v>40</v>
      </c>
      <c r="C18" s="190"/>
      <c r="D18" s="31" t="str">
        <f>IF(D17="","",D17*$D$9)</f>
        <v/>
      </c>
      <c r="E18" s="31" t="str">
        <f>IF(E17="","",E17*$E$9)</f>
        <v/>
      </c>
    </row>
    <row r="19" spans="2:5" ht="15" x14ac:dyDescent="0.2">
      <c r="B19" s="189" t="s">
        <v>45</v>
      </c>
      <c r="C19" s="190"/>
      <c r="D19" s="32" t="str">
        <f>IF((OR(D12="",D18="")),"",D18*$D$12)</f>
        <v/>
      </c>
      <c r="E19" s="32" t="str">
        <f>IF((OR(D12="",E18="")),"",E18*$D$12)</f>
        <v/>
      </c>
    </row>
    <row r="20" spans="2:5" ht="15.75" x14ac:dyDescent="0.25">
      <c r="B20" s="237" t="s">
        <v>46</v>
      </c>
      <c r="C20" s="238"/>
      <c r="D20" s="236" t="str">
        <f>IF((OR(D9="",E9="",D19="",E19="")),"(Missing Input)",(D19+E19))</f>
        <v>(Missing Input)</v>
      </c>
      <c r="E20" s="236"/>
    </row>
    <row r="21" spans="2:5" ht="15.75" x14ac:dyDescent="0.25">
      <c r="B21" s="219" t="s">
        <v>57</v>
      </c>
      <c r="C21" s="220"/>
      <c r="D21" s="236" t="str">
        <f>IF((OR(D12="",D20="",D20="(Missing Input)")),"(Missing Input)",D20/D12)</f>
        <v>(Missing Input)</v>
      </c>
      <c r="E21" s="236"/>
    </row>
    <row r="22" spans="2:5" ht="15" customHeight="1" x14ac:dyDescent="0.2">
      <c r="B22" s="33"/>
      <c r="C22" s="33"/>
      <c r="D22" s="33"/>
      <c r="E22" s="33"/>
    </row>
    <row r="23" spans="2:5" ht="15.75" x14ac:dyDescent="0.25">
      <c r="B23" s="191" t="s">
        <v>142</v>
      </c>
      <c r="C23" s="192"/>
      <c r="D23" s="193"/>
      <c r="E23" s="194"/>
    </row>
    <row r="24" spans="2:5" ht="75" customHeight="1" x14ac:dyDescent="0.2">
      <c r="B24" s="235"/>
      <c r="C24" s="235"/>
      <c r="D24" s="235"/>
      <c r="E24" s="235"/>
    </row>
    <row r="25" spans="2:5" x14ac:dyDescent="0.2">
      <c r="B25" s="33"/>
      <c r="C25" s="33"/>
      <c r="D25" s="33"/>
      <c r="E25" s="130" t="s">
        <v>187</v>
      </c>
    </row>
    <row r="26" spans="2:5" x14ac:dyDescent="0.2">
      <c r="B26" s="49" t="s">
        <v>38</v>
      </c>
      <c r="C26" s="33"/>
      <c r="D26" s="33"/>
      <c r="E26" s="33"/>
    </row>
    <row r="27" spans="2:5" ht="6" customHeight="1" x14ac:dyDescent="0.2">
      <c r="B27" s="33"/>
      <c r="C27" s="33"/>
      <c r="D27" s="33"/>
      <c r="E27" s="33"/>
    </row>
    <row r="28" spans="2:5" x14ac:dyDescent="0.2">
      <c r="B28" s="49" t="s">
        <v>44</v>
      </c>
      <c r="C28" s="33"/>
      <c r="D28" s="33"/>
      <c r="E28" s="33"/>
    </row>
    <row r="29" spans="2:5" ht="6" customHeight="1" x14ac:dyDescent="0.2"/>
    <row r="30" spans="2:5" x14ac:dyDescent="0.2">
      <c r="B30" s="47" t="s">
        <v>39</v>
      </c>
      <c r="C30" s="50">
        <f ca="1">TODAY()</f>
        <v>44601</v>
      </c>
      <c r="D30" s="47"/>
      <c r="E30" s="47"/>
    </row>
    <row r="31" spans="2:5" ht="6" customHeight="1" x14ac:dyDescent="0.2">
      <c r="B31" s="33"/>
      <c r="C31" s="33"/>
      <c r="D31" s="33"/>
      <c r="E31" s="33"/>
    </row>
    <row r="32" spans="2:5" x14ac:dyDescent="0.2">
      <c r="B32" s="33" t="s">
        <v>1</v>
      </c>
      <c r="C32" s="33"/>
      <c r="D32" s="33"/>
      <c r="E32" s="33"/>
    </row>
  </sheetData>
  <sheetProtection password="AB33" sheet="1" selectLockedCells="1"/>
  <mergeCells count="27">
    <mergeCell ref="B2:E2"/>
    <mergeCell ref="B3:E3"/>
    <mergeCell ref="B4:C4"/>
    <mergeCell ref="D4:E4"/>
    <mergeCell ref="B5:C5"/>
    <mergeCell ref="B18:C18"/>
    <mergeCell ref="B13:E13"/>
    <mergeCell ref="B14:C14"/>
    <mergeCell ref="B12:C12"/>
    <mergeCell ref="D12:E12"/>
    <mergeCell ref="D21:E21"/>
    <mergeCell ref="B15:C15"/>
    <mergeCell ref="B16:C16"/>
    <mergeCell ref="B17:C17"/>
    <mergeCell ref="B19:C19"/>
    <mergeCell ref="B20:C20"/>
    <mergeCell ref="D20:E20"/>
    <mergeCell ref="D5:E5"/>
    <mergeCell ref="B23:E23"/>
    <mergeCell ref="B24:E24"/>
    <mergeCell ref="B7:C7"/>
    <mergeCell ref="D7:E7"/>
    <mergeCell ref="B6:E6"/>
    <mergeCell ref="B9:C9"/>
    <mergeCell ref="B10:C10"/>
    <mergeCell ref="B11:C11"/>
    <mergeCell ref="B21:C21"/>
  </mergeCells>
  <printOptions horizontalCentered="1"/>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E2A2B"/>
  </sheetPr>
  <dimension ref="B2:E36"/>
  <sheetViews>
    <sheetView showGridLines="0" workbookViewId="0">
      <selection activeCell="D4" sqref="D4:E4"/>
    </sheetView>
  </sheetViews>
  <sheetFormatPr defaultRowHeight="12.75" x14ac:dyDescent="0.2"/>
  <cols>
    <col min="1" max="1" width="2.28515625" customWidth="1"/>
    <col min="2" max="2" width="14.85546875" customWidth="1"/>
    <col min="3" max="3" width="34.140625" customWidth="1"/>
    <col min="4" max="4" width="14.7109375" customWidth="1"/>
    <col min="5" max="5" width="13.5703125" customWidth="1"/>
    <col min="6" max="6" width="2.28515625" customWidth="1"/>
  </cols>
  <sheetData>
    <row r="2" spans="2:5" ht="21.75" customHeight="1" x14ac:dyDescent="0.25">
      <c r="B2" s="211" t="s">
        <v>16</v>
      </c>
      <c r="C2" s="211"/>
      <c r="D2" s="211"/>
      <c r="E2" s="211"/>
    </row>
    <row r="3" spans="2:5" x14ac:dyDescent="0.2">
      <c r="B3" s="239" t="s">
        <v>22</v>
      </c>
      <c r="C3" s="240"/>
      <c r="D3" s="240"/>
      <c r="E3" s="241"/>
    </row>
    <row r="4" spans="2:5" ht="15.75" x14ac:dyDescent="0.25">
      <c r="B4" s="149" t="s">
        <v>56</v>
      </c>
      <c r="C4" s="150"/>
      <c r="D4" s="233"/>
      <c r="E4" s="234"/>
    </row>
    <row r="5" spans="2:5" ht="15.75" x14ac:dyDescent="0.25">
      <c r="B5" s="149" t="s">
        <v>14</v>
      </c>
      <c r="C5" s="150"/>
      <c r="D5" s="233"/>
      <c r="E5" s="234"/>
    </row>
    <row r="6" spans="2:5" ht="21.75" customHeight="1" x14ac:dyDescent="0.25">
      <c r="B6" s="197" t="s">
        <v>15</v>
      </c>
      <c r="C6" s="193"/>
      <c r="D6" s="193"/>
      <c r="E6" s="194"/>
    </row>
    <row r="7" spans="2:5" ht="15.75" customHeight="1" x14ac:dyDescent="0.25">
      <c r="B7" s="149" t="s">
        <v>47</v>
      </c>
      <c r="C7" s="150"/>
      <c r="D7" s="233"/>
      <c r="E7" s="234"/>
    </row>
    <row r="8" spans="2:5" ht="15.75" x14ac:dyDescent="0.25">
      <c r="B8" s="27"/>
      <c r="C8" s="28"/>
      <c r="D8" s="59" t="s">
        <v>9</v>
      </c>
      <c r="E8" s="60" t="s">
        <v>0</v>
      </c>
    </row>
    <row r="9" spans="2:5" ht="15.75" x14ac:dyDescent="0.25">
      <c r="B9" s="207" t="s">
        <v>48</v>
      </c>
      <c r="C9" s="208"/>
      <c r="D9" s="86"/>
      <c r="E9" s="87"/>
    </row>
    <row r="10" spans="2:5" ht="15.75" x14ac:dyDescent="0.25">
      <c r="B10" s="207" t="s">
        <v>23</v>
      </c>
      <c r="C10" s="208"/>
      <c r="D10" s="88"/>
      <c r="E10" s="88"/>
    </row>
    <row r="11" spans="2:5" ht="15.75" x14ac:dyDescent="0.25">
      <c r="B11" s="207" t="s">
        <v>24</v>
      </c>
      <c r="C11" s="208"/>
      <c r="D11" s="88"/>
      <c r="E11" s="88"/>
    </row>
    <row r="12" spans="2:5" ht="15.75" x14ac:dyDescent="0.25">
      <c r="B12" s="207" t="s">
        <v>58</v>
      </c>
      <c r="C12" s="208"/>
      <c r="D12" s="87"/>
      <c r="E12" s="87"/>
    </row>
    <row r="13" spans="2:5" ht="15.75" x14ac:dyDescent="0.25">
      <c r="B13" s="207" t="s">
        <v>59</v>
      </c>
      <c r="C13" s="208"/>
      <c r="D13" s="87"/>
      <c r="E13" s="87"/>
    </row>
    <row r="14" spans="2:5" ht="15.75" x14ac:dyDescent="0.25">
      <c r="B14" s="219" t="s">
        <v>25</v>
      </c>
      <c r="C14" s="220"/>
      <c r="D14" s="242"/>
      <c r="E14" s="243"/>
    </row>
    <row r="15" spans="2:5" ht="21.75" customHeight="1" x14ac:dyDescent="0.25">
      <c r="B15" s="191" t="s">
        <v>19</v>
      </c>
      <c r="C15" s="192"/>
      <c r="D15" s="193"/>
      <c r="E15" s="194"/>
    </row>
    <row r="16" spans="2:5" ht="16.5" customHeight="1" x14ac:dyDescent="0.2">
      <c r="B16" s="195" t="s">
        <v>92</v>
      </c>
      <c r="C16" s="196"/>
      <c r="D16" s="23" t="str">
        <f>IF(D7="","",LOOKUP(D7,'CPI Data'!H7:H28,'CPI Data'!F7:F28))</f>
        <v/>
      </c>
      <c r="E16" s="24" t="str">
        <f>IF(D7="","",LOOKUP(D7,'CPI Data'!H7:H28,'CPI Data'!G7:G28))</f>
        <v/>
      </c>
    </row>
    <row r="17" spans="2:5" ht="15" x14ac:dyDescent="0.2">
      <c r="B17" s="189" t="s">
        <v>26</v>
      </c>
      <c r="C17" s="190"/>
      <c r="D17" s="29" t="str">
        <f>IF((OR(D10="",D12="")),"",(1/((1/$D$10)*D12))*60*60)</f>
        <v/>
      </c>
      <c r="E17" s="29" t="str">
        <f>IF((OR(E10="",E12="")),"",(1/((1/E10)*E12))*60*60)</f>
        <v/>
      </c>
    </row>
    <row r="18" spans="2:5" ht="15" x14ac:dyDescent="0.2">
      <c r="B18" s="189" t="s">
        <v>27</v>
      </c>
      <c r="C18" s="190"/>
      <c r="D18" s="29" t="str">
        <f>IF((OR(D11="",D13="")),"",(1/((1/$D$11)*D13))*60*60)</f>
        <v/>
      </c>
      <c r="E18" s="29" t="str">
        <f>IF((OR(E11="",E13="")),"",(1/((1/E11)*E13))*60*60)</f>
        <v/>
      </c>
    </row>
    <row r="19" spans="2:5" ht="15" x14ac:dyDescent="0.2">
      <c r="B19" s="189" t="s">
        <v>20</v>
      </c>
      <c r="C19" s="190"/>
      <c r="D19" s="29" t="str">
        <f>IF((OR(D17="",D18="")),"",D18-D17)</f>
        <v/>
      </c>
      <c r="E19" s="29" t="str">
        <f>IF((OR(E17="",E18="")),"",E18-E17)</f>
        <v/>
      </c>
    </row>
    <row r="20" spans="2:5" ht="15" x14ac:dyDescent="0.2">
      <c r="B20" s="189" t="s">
        <v>21</v>
      </c>
      <c r="C20" s="190"/>
      <c r="D20" s="30" t="str">
        <f>IF(D19="","",D19/3600)</f>
        <v/>
      </c>
      <c r="E20" s="30" t="str">
        <f>IF(E19="","",E19/3600)</f>
        <v/>
      </c>
    </row>
    <row r="21" spans="2:5" ht="15" x14ac:dyDescent="0.2">
      <c r="B21" s="189" t="s">
        <v>41</v>
      </c>
      <c r="C21" s="190"/>
      <c r="D21" s="31" t="str">
        <f>IF((OR(D16="",D20="")),"",D20*D16)</f>
        <v/>
      </c>
      <c r="E21" s="31" t="str">
        <f>IF((OR(E16="",E20="")),"",E20*E16)</f>
        <v/>
      </c>
    </row>
    <row r="22" spans="2:5" ht="15" x14ac:dyDescent="0.2">
      <c r="B22" s="189" t="s">
        <v>40</v>
      </c>
      <c r="C22" s="190"/>
      <c r="D22" s="31" t="str">
        <f>IF(D21="","",D21*$D$9)</f>
        <v/>
      </c>
      <c r="E22" s="31" t="str">
        <f>IF(E21="","",E21*$E$9)</f>
        <v/>
      </c>
    </row>
    <row r="23" spans="2:5" ht="15" x14ac:dyDescent="0.2">
      <c r="B23" s="189" t="s">
        <v>45</v>
      </c>
      <c r="C23" s="190"/>
      <c r="D23" s="32" t="str">
        <f>IF((OR(D14="",D22="")),"",D22*$D$14)</f>
        <v/>
      </c>
      <c r="E23" s="32" t="str">
        <f>IF((OR(D14="",E22="")),"",E22*$D$14)</f>
        <v/>
      </c>
    </row>
    <row r="24" spans="2:5" ht="15.75" x14ac:dyDescent="0.25">
      <c r="B24" s="237" t="s">
        <v>46</v>
      </c>
      <c r="C24" s="238"/>
      <c r="D24" s="236" t="str">
        <f>IF((OR(D9="",E9="",D23="",E23="")),"(Missing Input)",(D23+E23))</f>
        <v>(Missing Input)</v>
      </c>
      <c r="E24" s="236"/>
    </row>
    <row r="25" spans="2:5" ht="15.75" x14ac:dyDescent="0.25">
      <c r="B25" s="219" t="s">
        <v>57</v>
      </c>
      <c r="C25" s="220"/>
      <c r="D25" s="236" t="str">
        <f>IF((OR(D14="",D24="",D24="(Missing Input)")),"(Missing Input)",D24/D14)</f>
        <v>(Missing Input)</v>
      </c>
      <c r="E25" s="236"/>
    </row>
    <row r="26" spans="2:5" ht="15" customHeight="1" x14ac:dyDescent="0.2">
      <c r="B26" s="33"/>
      <c r="C26" s="33"/>
      <c r="D26" s="33"/>
      <c r="E26" s="33"/>
    </row>
    <row r="27" spans="2:5" ht="15.75" x14ac:dyDescent="0.25">
      <c r="B27" s="191" t="s">
        <v>142</v>
      </c>
      <c r="C27" s="192"/>
      <c r="D27" s="193"/>
      <c r="E27" s="194"/>
    </row>
    <row r="28" spans="2:5" ht="75" customHeight="1" x14ac:dyDescent="0.2">
      <c r="B28" s="235"/>
      <c r="C28" s="235"/>
      <c r="D28" s="235"/>
      <c r="E28" s="235"/>
    </row>
    <row r="29" spans="2:5" x14ac:dyDescent="0.2">
      <c r="B29" s="33"/>
      <c r="C29" s="33"/>
      <c r="D29" s="33"/>
      <c r="E29" s="130" t="s">
        <v>187</v>
      </c>
    </row>
    <row r="30" spans="2:5" x14ac:dyDescent="0.2">
      <c r="B30" s="49" t="s">
        <v>38</v>
      </c>
      <c r="C30" s="33"/>
      <c r="D30" s="33"/>
      <c r="E30" s="33"/>
    </row>
    <row r="31" spans="2:5" ht="6" customHeight="1" x14ac:dyDescent="0.2">
      <c r="B31" s="33"/>
      <c r="C31" s="33"/>
      <c r="D31" s="33"/>
      <c r="E31" s="33"/>
    </row>
    <row r="32" spans="2:5" x14ac:dyDescent="0.2">
      <c r="B32" s="49" t="s">
        <v>44</v>
      </c>
      <c r="C32" s="33"/>
      <c r="D32" s="33"/>
      <c r="E32" s="33"/>
    </row>
    <row r="33" spans="2:5" ht="6" customHeight="1" x14ac:dyDescent="0.2"/>
    <row r="34" spans="2:5" x14ac:dyDescent="0.2">
      <c r="B34" s="47" t="s">
        <v>39</v>
      </c>
      <c r="C34" s="50">
        <f ca="1">TODAY()</f>
        <v>44601</v>
      </c>
      <c r="D34" s="47"/>
      <c r="E34" s="47"/>
    </row>
    <row r="35" spans="2:5" ht="6" customHeight="1" x14ac:dyDescent="0.2">
      <c r="B35" s="33"/>
      <c r="C35" s="33"/>
      <c r="D35" s="33"/>
      <c r="E35" s="33"/>
    </row>
    <row r="36" spans="2:5" x14ac:dyDescent="0.2">
      <c r="B36" s="33" t="s">
        <v>1</v>
      </c>
      <c r="C36" s="33"/>
      <c r="D36" s="33"/>
      <c r="E36" s="33"/>
    </row>
  </sheetData>
  <sheetProtection password="AB33" sheet="1" selectLockedCells="1"/>
  <mergeCells count="31">
    <mergeCell ref="B15:E15"/>
    <mergeCell ref="D24:E24"/>
    <mergeCell ref="B19:C19"/>
    <mergeCell ref="B27:E27"/>
    <mergeCell ref="B24:C24"/>
    <mergeCell ref="B16:C16"/>
    <mergeCell ref="B17:C17"/>
    <mergeCell ref="B18:C18"/>
    <mergeCell ref="B23:C23"/>
    <mergeCell ref="B25:C25"/>
    <mergeCell ref="B21:C21"/>
    <mergeCell ref="B6:E6"/>
    <mergeCell ref="B20:C20"/>
    <mergeCell ref="B12:C12"/>
    <mergeCell ref="B13:C13"/>
    <mergeCell ref="B14:C14"/>
    <mergeCell ref="D14:E14"/>
    <mergeCell ref="B9:C9"/>
    <mergeCell ref="B10:C10"/>
    <mergeCell ref="B11:C11"/>
    <mergeCell ref="B7:C7"/>
    <mergeCell ref="D25:E25"/>
    <mergeCell ref="B22:C22"/>
    <mergeCell ref="B28:E28"/>
    <mergeCell ref="B2:E2"/>
    <mergeCell ref="B3:E3"/>
    <mergeCell ref="B4:C4"/>
    <mergeCell ref="D4:E4"/>
    <mergeCell ref="B5:C5"/>
    <mergeCell ref="D5:E5"/>
    <mergeCell ref="D7:E7"/>
  </mergeCells>
  <printOptions horizontalCentered="1"/>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69"/>
  </sheetPr>
  <dimension ref="A1:N33"/>
  <sheetViews>
    <sheetView showGridLines="0" workbookViewId="0">
      <selection activeCell="P49" sqref="P49"/>
    </sheetView>
  </sheetViews>
  <sheetFormatPr defaultRowHeight="12.75" x14ac:dyDescent="0.2"/>
  <cols>
    <col min="1" max="4" width="9.140625" style="5"/>
    <col min="5" max="5" width="20.140625" customWidth="1"/>
    <col min="6" max="6" width="11.5703125" style="5" customWidth="1"/>
    <col min="8" max="8" width="9.140625" style="7"/>
  </cols>
  <sheetData>
    <row r="1" spans="1:11" ht="30.75" customHeight="1" x14ac:dyDescent="0.2">
      <c r="A1" s="255" t="s">
        <v>146</v>
      </c>
      <c r="B1" s="255"/>
      <c r="C1" s="255"/>
      <c r="D1" s="255"/>
      <c r="E1" s="255"/>
      <c r="F1" s="255"/>
      <c r="G1" s="255"/>
      <c r="H1" s="255"/>
      <c r="I1" s="255"/>
    </row>
    <row r="2" spans="1:11" x14ac:dyDescent="0.2">
      <c r="A2" s="256" t="s">
        <v>61</v>
      </c>
      <c r="B2" s="256"/>
      <c r="C2" s="256"/>
      <c r="D2" s="256"/>
      <c r="E2" s="256"/>
      <c r="F2" s="256"/>
      <c r="G2" s="256"/>
      <c r="H2" s="256"/>
      <c r="I2" s="256"/>
    </row>
    <row r="3" spans="1:11" ht="30.75" customHeight="1" thickBot="1" x14ac:dyDescent="0.25">
      <c r="A3" s="257" t="s">
        <v>147</v>
      </c>
      <c r="B3" s="257"/>
      <c r="C3" s="257"/>
      <c r="D3" s="257"/>
      <c r="E3" s="257"/>
      <c r="F3" s="257"/>
      <c r="G3" s="257"/>
      <c r="H3" s="257"/>
      <c r="I3" s="257"/>
    </row>
    <row r="4" spans="1:11" ht="19.5" hidden="1" customHeight="1" thickBot="1" x14ac:dyDescent="0.25">
      <c r="A4" s="258" t="s">
        <v>7</v>
      </c>
      <c r="B4" s="258"/>
      <c r="C4" s="258"/>
      <c r="D4" s="258"/>
      <c r="E4" s="258"/>
      <c r="F4" s="258"/>
      <c r="G4" s="258"/>
      <c r="H4" s="258"/>
      <c r="I4" s="258"/>
    </row>
    <row r="5" spans="1:11" ht="14.25" customHeight="1" x14ac:dyDescent="0.2">
      <c r="A5" s="244" t="s">
        <v>11</v>
      </c>
      <c r="B5" s="246" t="s">
        <v>2</v>
      </c>
      <c r="C5" s="246"/>
      <c r="D5" s="246" t="s">
        <v>6</v>
      </c>
      <c r="E5" s="246" t="s">
        <v>5</v>
      </c>
      <c r="F5" s="261" t="s">
        <v>8</v>
      </c>
      <c r="G5" s="261"/>
      <c r="H5" s="259" t="s">
        <v>12</v>
      </c>
      <c r="I5" s="251" t="s">
        <v>13</v>
      </c>
    </row>
    <row r="6" spans="1:11" x14ac:dyDescent="0.2">
      <c r="A6" s="245"/>
      <c r="B6" s="12" t="s">
        <v>3</v>
      </c>
      <c r="C6" s="12" t="s">
        <v>4</v>
      </c>
      <c r="D6" s="247"/>
      <c r="E6" s="247"/>
      <c r="F6" s="12" t="s">
        <v>9</v>
      </c>
      <c r="G6" s="12" t="s">
        <v>10</v>
      </c>
      <c r="H6" s="260"/>
      <c r="I6" s="252"/>
    </row>
    <row r="7" spans="1:11" x14ac:dyDescent="0.2">
      <c r="A7" s="13">
        <v>2008</v>
      </c>
      <c r="B7" s="14">
        <v>214.429</v>
      </c>
      <c r="C7" s="14">
        <v>216.17699999999999</v>
      </c>
      <c r="D7" s="14">
        <v>215.303</v>
      </c>
      <c r="E7" s="15"/>
      <c r="F7" s="16">
        <v>19.22</v>
      </c>
      <c r="G7" s="16">
        <v>51.88</v>
      </c>
      <c r="H7" s="17">
        <v>2009</v>
      </c>
      <c r="I7" s="252"/>
    </row>
    <row r="8" spans="1:11" x14ac:dyDescent="0.2">
      <c r="A8" s="13">
        <v>2009</v>
      </c>
      <c r="B8" s="14">
        <v>213.13900000000001</v>
      </c>
      <c r="C8" s="14">
        <v>215.935</v>
      </c>
      <c r="D8" s="14">
        <v>214.53700000000001</v>
      </c>
      <c r="E8" s="18">
        <f t="shared" ref="E8:E20" si="0">(D8-$D$7)/$D$7</f>
        <v>-3.5577767146764846E-3</v>
      </c>
      <c r="F8" s="16">
        <f t="shared" ref="F8:F15" si="1">$F$7*E8+$F$7</f>
        <v>19.151619531543918</v>
      </c>
      <c r="G8" s="16">
        <f t="shared" ref="G8:G15" si="2">$G$7*E8+$G$7</f>
        <v>51.695422544042586</v>
      </c>
      <c r="H8" s="17">
        <v>2010</v>
      </c>
      <c r="I8" s="252"/>
    </row>
    <row r="9" spans="1:11" x14ac:dyDescent="0.2">
      <c r="A9" s="13">
        <v>2010</v>
      </c>
      <c r="B9" s="14">
        <v>217.535</v>
      </c>
      <c r="C9" s="14">
        <v>218.57599999999999</v>
      </c>
      <c r="D9" s="14">
        <v>218.05600000000001</v>
      </c>
      <c r="E9" s="18">
        <f t="shared" si="0"/>
        <v>1.2786630934079016E-2</v>
      </c>
      <c r="F9" s="16">
        <f t="shared" si="1"/>
        <v>19.465759046552996</v>
      </c>
      <c r="G9" s="16">
        <f t="shared" si="2"/>
        <v>52.543370412860021</v>
      </c>
      <c r="H9" s="17">
        <v>2011</v>
      </c>
      <c r="I9" s="252"/>
    </row>
    <row r="10" spans="1:11" x14ac:dyDescent="0.2">
      <c r="A10" s="13">
        <v>2011</v>
      </c>
      <c r="B10" s="14">
        <v>223.59800000000001</v>
      </c>
      <c r="C10" s="14">
        <v>226.28</v>
      </c>
      <c r="D10" s="14">
        <v>224.93899999999999</v>
      </c>
      <c r="E10" s="18">
        <f t="shared" si="0"/>
        <v>4.4755530577836794E-2</v>
      </c>
      <c r="F10" s="16">
        <f t="shared" si="1"/>
        <v>20.080201297706022</v>
      </c>
      <c r="G10" s="16">
        <f t="shared" si="2"/>
        <v>54.201916926378175</v>
      </c>
      <c r="H10" s="17">
        <v>2012</v>
      </c>
      <c r="I10" s="252"/>
    </row>
    <row r="11" spans="1:11" x14ac:dyDescent="0.2">
      <c r="A11" s="13">
        <v>2012</v>
      </c>
      <c r="B11" s="14">
        <v>228.85</v>
      </c>
      <c r="C11" s="14">
        <v>230.33799999999999</v>
      </c>
      <c r="D11" s="14">
        <v>229.59399999999999</v>
      </c>
      <c r="E11" s="18">
        <f t="shared" si="0"/>
        <v>6.6376223276034221E-2</v>
      </c>
      <c r="F11" s="16">
        <f t="shared" si="1"/>
        <v>20.495751011365378</v>
      </c>
      <c r="G11" s="16">
        <f t="shared" si="2"/>
        <v>55.323598463560657</v>
      </c>
      <c r="H11" s="17">
        <v>2013</v>
      </c>
      <c r="I11" s="252"/>
    </row>
    <row r="12" spans="1:11" x14ac:dyDescent="0.2">
      <c r="A12" s="13">
        <v>2013</v>
      </c>
      <c r="B12" s="14">
        <v>232.36600000000001</v>
      </c>
      <c r="C12" s="14">
        <v>233.548</v>
      </c>
      <c r="D12" s="14">
        <v>232.95699999999999</v>
      </c>
      <c r="E12" s="18">
        <f t="shared" si="0"/>
        <v>8.1996070653915634E-2</v>
      </c>
      <c r="F12" s="16">
        <f t="shared" si="1"/>
        <v>20.795964477968258</v>
      </c>
      <c r="G12" s="16">
        <f t="shared" si="2"/>
        <v>56.133956145525147</v>
      </c>
      <c r="H12" s="17">
        <v>2014</v>
      </c>
      <c r="I12" s="252"/>
    </row>
    <row r="13" spans="1:11" x14ac:dyDescent="0.2">
      <c r="A13" s="13">
        <v>2014</v>
      </c>
      <c r="B13" s="14">
        <v>236.38399999999999</v>
      </c>
      <c r="C13" s="14">
        <v>237.08799999999999</v>
      </c>
      <c r="D13" s="14">
        <v>236.73599999999999</v>
      </c>
      <c r="E13" s="18">
        <f t="shared" si="0"/>
        <v>9.9548078754127869E-2</v>
      </c>
      <c r="F13" s="16">
        <f t="shared" si="1"/>
        <v>21.133314073654336</v>
      </c>
      <c r="G13" s="16">
        <f t="shared" si="2"/>
        <v>57.044554325764153</v>
      </c>
      <c r="H13" s="17">
        <v>2015</v>
      </c>
      <c r="I13" s="252"/>
      <c r="K13" s="55"/>
    </row>
    <row r="14" spans="1:11" ht="12.75" customHeight="1" x14ac:dyDescent="0.2">
      <c r="A14" s="13">
        <v>2015</v>
      </c>
      <c r="B14" s="14">
        <v>236.26499999999999</v>
      </c>
      <c r="C14" s="14">
        <v>237.76900000000001</v>
      </c>
      <c r="D14" s="14">
        <v>237.017</v>
      </c>
      <c r="E14" s="54">
        <f t="shared" si="0"/>
        <v>0.10085321616512542</v>
      </c>
      <c r="F14" s="16">
        <f t="shared" si="1"/>
        <v>21.158398814693708</v>
      </c>
      <c r="G14" s="16">
        <f t="shared" si="2"/>
        <v>57.11226485464671</v>
      </c>
      <c r="H14" s="17">
        <v>2016</v>
      </c>
      <c r="I14" s="252"/>
    </row>
    <row r="15" spans="1:11" ht="12.75" customHeight="1" x14ac:dyDescent="0.2">
      <c r="A15" s="13">
        <v>2016</v>
      </c>
      <c r="B15" s="12">
        <v>238.77799999999999</v>
      </c>
      <c r="C15" s="12">
        <v>241.23699999999999</v>
      </c>
      <c r="D15" s="12">
        <v>240.00700000000001</v>
      </c>
      <c r="E15" s="54">
        <f t="shared" si="0"/>
        <v>0.11474062135687849</v>
      </c>
      <c r="F15" s="16">
        <f t="shared" si="1"/>
        <v>21.425314742479202</v>
      </c>
      <c r="G15" s="16">
        <f t="shared" si="2"/>
        <v>57.832743435994857</v>
      </c>
      <c r="H15" s="12">
        <v>2017</v>
      </c>
      <c r="I15" s="252"/>
    </row>
    <row r="16" spans="1:11" ht="12.75" customHeight="1" x14ac:dyDescent="0.2">
      <c r="A16" s="13">
        <v>2017</v>
      </c>
      <c r="B16" s="12">
        <v>244.07599999999999</v>
      </c>
      <c r="C16" s="12">
        <v>246.16300000000001</v>
      </c>
      <c r="D16" s="12">
        <v>245.12</v>
      </c>
      <c r="E16" s="54">
        <f t="shared" si="0"/>
        <v>0.13848854869648825</v>
      </c>
      <c r="F16" s="16">
        <f>$F$7*E16+$F$7</f>
        <v>21.881749905946503</v>
      </c>
      <c r="G16" s="16">
        <f>$G$7*E16+$G$7</f>
        <v>59.064785906373814</v>
      </c>
      <c r="H16" s="17">
        <v>2018</v>
      </c>
      <c r="I16" s="252"/>
    </row>
    <row r="17" spans="1:14" s="6" customFormat="1" ht="12.75" customHeight="1" x14ac:dyDescent="0.2">
      <c r="A17" s="103">
        <v>2018</v>
      </c>
      <c r="B17" s="104">
        <v>250.089</v>
      </c>
      <c r="C17" s="104">
        <v>252.125</v>
      </c>
      <c r="D17" s="104">
        <v>251.107</v>
      </c>
      <c r="E17" s="105">
        <f t="shared" si="0"/>
        <v>0.16629587139984117</v>
      </c>
      <c r="F17" s="106">
        <f>$F$7*E17+$F$7</f>
        <v>22.416206648304946</v>
      </c>
      <c r="G17" s="106">
        <f>$G$7*E17+$G$7</f>
        <v>60.507429808223762</v>
      </c>
      <c r="H17" s="107">
        <v>2019</v>
      </c>
      <c r="I17" s="252"/>
      <c r="K17" s="113"/>
    </row>
    <row r="18" spans="1:14" s="6" customFormat="1" x14ac:dyDescent="0.2">
      <c r="A18" s="121">
        <v>2019</v>
      </c>
      <c r="B18" s="122">
        <v>254.41200000000001</v>
      </c>
      <c r="C18" s="122">
        <v>256.90300000000002</v>
      </c>
      <c r="D18" s="122">
        <v>255.65700000000001</v>
      </c>
      <c r="E18" s="123">
        <f t="shared" si="0"/>
        <v>0.18742887930033494</v>
      </c>
      <c r="F18" s="16">
        <f>$F$7*E18+$F$7</f>
        <v>22.822383060152436</v>
      </c>
      <c r="G18" s="16">
        <f>$G$7*E18+$G$7</f>
        <v>61.603810258101376</v>
      </c>
      <c r="H18" s="17">
        <v>2020</v>
      </c>
      <c r="I18" s="252"/>
    </row>
    <row r="19" spans="1:14" s="6" customFormat="1" x14ac:dyDescent="0.2">
      <c r="A19" s="116">
        <v>2020</v>
      </c>
      <c r="B19" s="117">
        <v>257.55700000000002</v>
      </c>
      <c r="C19" s="117">
        <v>260.065</v>
      </c>
      <c r="D19" s="117">
        <v>258.81099999999998</v>
      </c>
      <c r="E19" s="118">
        <f t="shared" si="0"/>
        <v>0.20207800169992979</v>
      </c>
      <c r="F19" s="119">
        <f>$F$7*E19+$F$7</f>
        <v>23.103939192672648</v>
      </c>
      <c r="G19" s="119">
        <f>$G$7*E19+$G$7</f>
        <v>62.363806728192358</v>
      </c>
      <c r="H19" s="120">
        <v>2021</v>
      </c>
      <c r="I19" s="253"/>
      <c r="N19" s="114"/>
    </row>
    <row r="20" spans="1:14" s="6" customFormat="1" ht="13.5" thickBot="1" x14ac:dyDescent="0.25">
      <c r="A20" s="108">
        <v>2021</v>
      </c>
      <c r="B20" s="109">
        <v>266.23599999999999</v>
      </c>
      <c r="C20" s="109">
        <v>275.70299999999997</v>
      </c>
      <c r="D20" s="109">
        <v>270.97000000000003</v>
      </c>
      <c r="E20" s="110">
        <f t="shared" si="0"/>
        <v>0.25855190127401861</v>
      </c>
      <c r="F20" s="111">
        <f>$F$7*E20+$F$7</f>
        <v>24.189367542486636</v>
      </c>
      <c r="G20" s="111">
        <f>$G$7*E20+$G$7</f>
        <v>65.293672638096083</v>
      </c>
      <c r="H20" s="112">
        <v>2022</v>
      </c>
      <c r="I20" s="254"/>
    </row>
    <row r="21" spans="1:14" s="6" customFormat="1" x14ac:dyDescent="0.2">
      <c r="A21" s="91">
        <v>2022</v>
      </c>
      <c r="B21" s="94"/>
      <c r="C21" s="94"/>
      <c r="D21" s="94"/>
      <c r="E21" s="97"/>
      <c r="F21" s="92">
        <f t="shared" ref="F21:F28" si="3">F20*0.02+F20</f>
        <v>24.673154893336367</v>
      </c>
      <c r="G21" s="92">
        <f t="shared" ref="G21:G28" si="4">G20*0.02+G20</f>
        <v>66.599546090857999</v>
      </c>
      <c r="H21" s="93">
        <v>2023</v>
      </c>
      <c r="I21" s="248" t="s">
        <v>66</v>
      </c>
    </row>
    <row r="22" spans="1:14" s="6" customFormat="1" x14ac:dyDescent="0.2">
      <c r="A22" s="10">
        <v>2023</v>
      </c>
      <c r="B22" s="95"/>
      <c r="C22" s="95"/>
      <c r="D22" s="95"/>
      <c r="E22" s="98"/>
      <c r="F22" s="19">
        <f t="shared" si="3"/>
        <v>25.166617991203093</v>
      </c>
      <c r="G22" s="19">
        <f t="shared" si="4"/>
        <v>67.931537012675165</v>
      </c>
      <c r="H22" s="8">
        <v>2024</v>
      </c>
      <c r="I22" s="249"/>
    </row>
    <row r="23" spans="1:14" s="6" customFormat="1" x14ac:dyDescent="0.2">
      <c r="A23" s="10">
        <v>2024</v>
      </c>
      <c r="B23" s="95"/>
      <c r="C23" s="95"/>
      <c r="D23" s="95"/>
      <c r="E23" s="98"/>
      <c r="F23" s="19">
        <f t="shared" si="3"/>
        <v>25.669950351027154</v>
      </c>
      <c r="G23" s="19">
        <f t="shared" si="4"/>
        <v>69.290167752928667</v>
      </c>
      <c r="H23" s="8">
        <v>2025</v>
      </c>
      <c r="I23" s="249"/>
    </row>
    <row r="24" spans="1:14" s="6" customFormat="1" x14ac:dyDescent="0.2">
      <c r="A24" s="10">
        <v>2025</v>
      </c>
      <c r="B24" s="95"/>
      <c r="C24" s="95"/>
      <c r="D24" s="95"/>
      <c r="E24" s="98"/>
      <c r="F24" s="19">
        <f t="shared" si="3"/>
        <v>26.183349358047696</v>
      </c>
      <c r="G24" s="19">
        <f t="shared" si="4"/>
        <v>70.675971107987237</v>
      </c>
      <c r="H24" s="8">
        <v>2026</v>
      </c>
      <c r="I24" s="249"/>
    </row>
    <row r="25" spans="1:14" s="6" customFormat="1" x14ac:dyDescent="0.2">
      <c r="A25" s="10">
        <v>2026</v>
      </c>
      <c r="B25" s="95"/>
      <c r="C25" s="95"/>
      <c r="D25" s="95"/>
      <c r="E25" s="98"/>
      <c r="F25" s="19">
        <f t="shared" si="3"/>
        <v>26.70701634520865</v>
      </c>
      <c r="G25" s="19">
        <f t="shared" si="4"/>
        <v>72.089490530146989</v>
      </c>
      <c r="H25" s="8">
        <v>2027</v>
      </c>
      <c r="I25" s="249"/>
    </row>
    <row r="26" spans="1:14" s="6" customFormat="1" x14ac:dyDescent="0.2">
      <c r="A26" s="10">
        <v>2027</v>
      </c>
      <c r="B26" s="95"/>
      <c r="C26" s="95"/>
      <c r="D26" s="95"/>
      <c r="E26" s="98"/>
      <c r="F26" s="19">
        <f t="shared" si="3"/>
        <v>27.241156672112822</v>
      </c>
      <c r="G26" s="19">
        <f t="shared" si="4"/>
        <v>73.53128034074993</v>
      </c>
      <c r="H26" s="8">
        <v>2028</v>
      </c>
      <c r="I26" s="249"/>
    </row>
    <row r="27" spans="1:14" s="6" customFormat="1" x14ac:dyDescent="0.2">
      <c r="A27" s="10">
        <v>2028</v>
      </c>
      <c r="B27" s="95"/>
      <c r="C27" s="95"/>
      <c r="D27" s="95"/>
      <c r="E27" s="98"/>
      <c r="F27" s="19">
        <f t="shared" si="3"/>
        <v>27.78597980555508</v>
      </c>
      <c r="G27" s="19">
        <f t="shared" si="4"/>
        <v>75.001905947564936</v>
      </c>
      <c r="H27" s="8">
        <v>2029</v>
      </c>
      <c r="I27" s="249"/>
    </row>
    <row r="28" spans="1:14" s="6" customFormat="1" ht="13.5" thickBot="1" x14ac:dyDescent="0.25">
      <c r="A28" s="11">
        <v>2029</v>
      </c>
      <c r="B28" s="96"/>
      <c r="C28" s="96"/>
      <c r="D28" s="96"/>
      <c r="E28" s="99"/>
      <c r="F28" s="20">
        <f t="shared" si="3"/>
        <v>28.34169940166618</v>
      </c>
      <c r="G28" s="20">
        <f t="shared" si="4"/>
        <v>76.501944066516231</v>
      </c>
      <c r="H28" s="9">
        <v>2030</v>
      </c>
      <c r="I28" s="250"/>
    </row>
    <row r="30" spans="1:14" x14ac:dyDescent="0.2">
      <c r="A30" s="46" t="s">
        <v>193</v>
      </c>
    </row>
    <row r="32" spans="1:14" x14ac:dyDescent="0.2">
      <c r="A32" s="56"/>
    </row>
    <row r="33" spans="1:1" x14ac:dyDescent="0.2">
      <c r="A33" s="57"/>
    </row>
  </sheetData>
  <sheetProtection password="AB33" sheet="1" selectLockedCells="1"/>
  <mergeCells count="12">
    <mergeCell ref="B5:C5"/>
    <mergeCell ref="D5:D6"/>
    <mergeCell ref="A5:A6"/>
    <mergeCell ref="E5:E6"/>
    <mergeCell ref="I21:I28"/>
    <mergeCell ref="I5:I20"/>
    <mergeCell ref="A1:I1"/>
    <mergeCell ref="A2:I2"/>
    <mergeCell ref="A3:I3"/>
    <mergeCell ref="A4:I4"/>
    <mergeCell ref="H5:H6"/>
    <mergeCell ref="F5:G5"/>
  </mergeCells>
  <hyperlinks>
    <hyperlink ref="A4" r:id="rId1"/>
    <hyperlink ref="A2" r:id="rId2" display="www.bls.gov/cpi"/>
    <hyperlink ref="A2:G2" r:id="rId3" display="https://www.bls.gov/cpi/tables/supplemental-files/home.htm"/>
  </hyperlinks>
  <printOptions horizontalCentered="1"/>
  <pageMargins left="0.7" right="0.7" top="0.75" bottom="0.75" header="0.3" footer="0.3"/>
  <pageSetup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69"/>
    <pageSetUpPr fitToPage="1"/>
  </sheetPr>
  <dimension ref="A1:R57"/>
  <sheetViews>
    <sheetView showGridLines="0" workbookViewId="0">
      <selection activeCell="R70" sqref="R70"/>
    </sheetView>
  </sheetViews>
  <sheetFormatPr defaultRowHeight="15" x14ac:dyDescent="0.25"/>
  <cols>
    <col min="1" max="1" width="9.140625" style="43"/>
    <col min="2" max="16384" width="9.140625" style="34"/>
  </cols>
  <sheetData>
    <row r="1" spans="1:18" x14ac:dyDescent="0.25">
      <c r="A1" s="263" t="s">
        <v>35</v>
      </c>
      <c r="B1" s="264"/>
      <c r="C1" s="264"/>
      <c r="D1" s="264"/>
      <c r="E1" s="264"/>
      <c r="F1" s="264"/>
      <c r="G1" s="264"/>
      <c r="H1" s="264"/>
      <c r="I1" s="264"/>
      <c r="J1" s="264"/>
      <c r="K1" s="264"/>
      <c r="L1" s="264"/>
      <c r="M1" s="264"/>
      <c r="N1" s="264"/>
      <c r="O1" s="264"/>
    </row>
    <row r="2" spans="1:18" s="36" customFormat="1" ht="46.5" customHeight="1" x14ac:dyDescent="0.25">
      <c r="A2" s="35"/>
      <c r="B2" s="262" t="s">
        <v>65</v>
      </c>
      <c r="C2" s="262"/>
      <c r="D2" s="262"/>
      <c r="E2" s="262"/>
      <c r="F2" s="262"/>
      <c r="G2" s="262"/>
      <c r="H2" s="262"/>
      <c r="I2" s="262"/>
      <c r="J2" s="262"/>
      <c r="K2" s="262"/>
      <c r="L2" s="262"/>
      <c r="M2" s="262"/>
      <c r="N2" s="262"/>
      <c r="O2" s="262"/>
    </row>
    <row r="3" spans="1:18" s="36" customFormat="1" ht="15" hidden="1" customHeight="1" x14ac:dyDescent="0.25">
      <c r="A3" s="35"/>
      <c r="B3" s="265" t="s">
        <v>32</v>
      </c>
      <c r="C3" s="262"/>
      <c r="D3" s="262"/>
      <c r="E3" s="262"/>
      <c r="F3" s="262"/>
      <c r="G3" s="262"/>
      <c r="H3" s="262"/>
      <c r="I3" s="262"/>
      <c r="J3" s="262"/>
      <c r="K3" s="262"/>
      <c r="L3" s="262"/>
      <c r="M3" s="262"/>
      <c r="N3" s="262"/>
      <c r="O3" s="262"/>
    </row>
    <row r="4" spans="1:18" s="53" customFormat="1" ht="30.75" hidden="1" customHeight="1" x14ac:dyDescent="0.25">
      <c r="A4" s="52"/>
      <c r="B4" s="272" t="s">
        <v>62</v>
      </c>
      <c r="C4" s="272"/>
      <c r="D4" s="272"/>
      <c r="E4" s="272"/>
      <c r="F4" s="272"/>
      <c r="G4" s="272"/>
      <c r="H4" s="272"/>
      <c r="I4" s="272"/>
      <c r="J4" s="272"/>
      <c r="K4" s="272"/>
      <c r="L4" s="272"/>
      <c r="M4" s="272"/>
      <c r="N4" s="272"/>
      <c r="O4" s="272"/>
    </row>
    <row r="5" spans="1:18" s="53" customFormat="1" ht="15" hidden="1" customHeight="1" x14ac:dyDescent="0.25">
      <c r="A5" s="52"/>
      <c r="B5" s="57" t="s">
        <v>61</v>
      </c>
      <c r="C5" s="51"/>
      <c r="D5" s="51"/>
      <c r="E5" s="51"/>
      <c r="F5" s="51"/>
      <c r="G5" s="51"/>
      <c r="H5" s="51"/>
      <c r="I5" s="51"/>
      <c r="J5" s="51"/>
      <c r="K5" s="51"/>
      <c r="L5" s="51"/>
      <c r="M5" s="51"/>
      <c r="N5" s="51"/>
      <c r="O5" s="51"/>
    </row>
    <row r="6" spans="1:18" s="36" customFormat="1" ht="45" hidden="1" customHeight="1" x14ac:dyDescent="0.25">
      <c r="A6" s="35"/>
      <c r="B6" s="266" t="s">
        <v>63</v>
      </c>
      <c r="C6" s="262"/>
      <c r="D6" s="262"/>
      <c r="E6" s="262"/>
      <c r="F6" s="262"/>
      <c r="G6" s="262"/>
      <c r="H6" s="262"/>
      <c r="I6" s="262"/>
      <c r="J6" s="262"/>
      <c r="K6" s="262"/>
      <c r="L6" s="262"/>
      <c r="M6" s="262"/>
      <c r="N6" s="262"/>
      <c r="O6" s="262"/>
      <c r="R6" s="81"/>
    </row>
    <row r="7" spans="1:18" s="100" customFormat="1" x14ac:dyDescent="0.25">
      <c r="A7" s="52"/>
      <c r="B7" s="276" t="s">
        <v>61</v>
      </c>
      <c r="C7" s="276"/>
      <c r="D7" s="276"/>
      <c r="E7" s="276"/>
      <c r="F7" s="276"/>
      <c r="G7" s="276"/>
      <c r="H7" s="115"/>
      <c r="I7" s="115"/>
      <c r="J7" s="115"/>
      <c r="K7" s="115"/>
      <c r="L7" s="115"/>
      <c r="M7" s="115"/>
      <c r="N7" s="115"/>
      <c r="O7" s="115"/>
    </row>
    <row r="8" spans="1:18" s="100" customFormat="1" ht="60" customHeight="1" x14ac:dyDescent="0.25">
      <c r="A8" s="52"/>
      <c r="B8" s="275" t="s">
        <v>149</v>
      </c>
      <c r="C8" s="275"/>
      <c r="D8" s="275"/>
      <c r="E8" s="275"/>
      <c r="F8" s="275"/>
      <c r="G8" s="275"/>
      <c r="H8" s="275"/>
      <c r="I8" s="275"/>
      <c r="J8" s="275"/>
      <c r="K8" s="275"/>
      <c r="L8" s="275"/>
      <c r="M8" s="275"/>
      <c r="N8" s="275"/>
      <c r="O8" s="275"/>
    </row>
    <row r="9" spans="1:18" ht="5.0999999999999996" customHeight="1" x14ac:dyDescent="0.25">
      <c r="A9" s="37"/>
    </row>
    <row r="10" spans="1:18" ht="15" customHeight="1" x14ac:dyDescent="0.25">
      <c r="A10" s="38" t="s">
        <v>33</v>
      </c>
      <c r="B10" s="267" t="s">
        <v>148</v>
      </c>
      <c r="C10" s="268"/>
      <c r="D10" s="268"/>
      <c r="E10" s="268"/>
      <c r="F10" s="268"/>
      <c r="G10" s="268"/>
      <c r="H10" s="268"/>
      <c r="I10" s="268"/>
      <c r="J10" s="268"/>
      <c r="K10" s="268"/>
      <c r="L10" s="268"/>
      <c r="M10" s="268"/>
      <c r="N10" s="268"/>
      <c r="O10" s="268"/>
    </row>
    <row r="11" spans="1:18" ht="15" customHeight="1" x14ac:dyDescent="0.25">
      <c r="A11" s="37"/>
      <c r="B11" s="262" t="s">
        <v>95</v>
      </c>
      <c r="C11" s="271"/>
      <c r="D11" s="271"/>
      <c r="E11" s="271"/>
      <c r="F11" s="271"/>
      <c r="G11" s="271"/>
      <c r="H11" s="271"/>
      <c r="I11" s="271"/>
      <c r="J11" s="271"/>
      <c r="K11" s="271"/>
      <c r="L11" s="271"/>
      <c r="M11" s="271"/>
      <c r="N11" s="271"/>
      <c r="O11" s="271"/>
    </row>
    <row r="12" spans="1:18" ht="15" customHeight="1" x14ac:dyDescent="0.25">
      <c r="A12" s="37"/>
      <c r="C12" s="262" t="s">
        <v>143</v>
      </c>
      <c r="D12" s="271"/>
      <c r="E12" s="271"/>
      <c r="F12" s="271"/>
      <c r="G12" s="271"/>
      <c r="H12" s="271"/>
      <c r="I12" s="271"/>
      <c r="J12" s="271"/>
      <c r="K12" s="271"/>
      <c r="L12" s="271"/>
      <c r="M12" s="271"/>
      <c r="N12" s="271"/>
      <c r="O12" s="271"/>
    </row>
    <row r="13" spans="1:18" ht="15" customHeight="1" x14ac:dyDescent="0.25">
      <c r="A13" s="37"/>
      <c r="B13" s="262" t="s">
        <v>150</v>
      </c>
      <c r="C13" s="271"/>
      <c r="D13" s="271"/>
      <c r="E13" s="271"/>
      <c r="F13" s="271"/>
      <c r="G13" s="271"/>
      <c r="H13" s="271"/>
      <c r="I13" s="271"/>
      <c r="J13" s="271"/>
      <c r="K13" s="271"/>
      <c r="L13" s="271"/>
      <c r="M13" s="271"/>
      <c r="N13" s="271"/>
      <c r="O13" s="271"/>
    </row>
    <row r="14" spans="1:18" ht="15" customHeight="1" x14ac:dyDescent="0.25">
      <c r="A14" s="37"/>
      <c r="C14" s="262" t="s">
        <v>151</v>
      </c>
      <c r="D14" s="271"/>
      <c r="E14" s="271"/>
      <c r="F14" s="271"/>
      <c r="G14" s="271"/>
      <c r="H14" s="271"/>
      <c r="I14" s="271"/>
      <c r="J14" s="271"/>
      <c r="K14" s="271"/>
      <c r="L14" s="271"/>
      <c r="M14" s="271"/>
      <c r="N14" s="271"/>
      <c r="O14" s="271"/>
    </row>
    <row r="15" spans="1:18" ht="15" customHeight="1" x14ac:dyDescent="0.25">
      <c r="A15" s="37"/>
      <c r="B15" s="262" t="s">
        <v>152</v>
      </c>
      <c r="C15" s="271"/>
      <c r="D15" s="271"/>
      <c r="E15" s="271"/>
      <c r="F15" s="271"/>
      <c r="G15" s="271"/>
      <c r="H15" s="271"/>
      <c r="I15" s="271"/>
      <c r="J15" s="271"/>
      <c r="K15" s="271"/>
      <c r="L15" s="271"/>
      <c r="M15" s="271"/>
      <c r="N15" s="271"/>
      <c r="O15" s="271"/>
    </row>
    <row r="16" spans="1:18" ht="30" customHeight="1" x14ac:dyDescent="0.25">
      <c r="A16" s="37"/>
      <c r="C16" s="262" t="s">
        <v>153</v>
      </c>
      <c r="D16" s="262"/>
      <c r="E16" s="262"/>
      <c r="F16" s="262"/>
      <c r="G16" s="262"/>
      <c r="H16" s="262"/>
      <c r="I16" s="262"/>
      <c r="J16" s="262"/>
      <c r="K16" s="262"/>
      <c r="L16" s="262"/>
      <c r="M16" s="262"/>
      <c r="N16" s="262"/>
      <c r="O16" s="262"/>
    </row>
    <row r="17" spans="1:15" ht="15" customHeight="1" x14ac:dyDescent="0.25">
      <c r="A17" s="37"/>
      <c r="C17" s="262" t="s">
        <v>154</v>
      </c>
      <c r="D17" s="262"/>
      <c r="E17" s="262"/>
      <c r="F17" s="262"/>
      <c r="G17" s="262"/>
      <c r="H17" s="262"/>
      <c r="I17" s="262"/>
      <c r="J17" s="262"/>
      <c r="K17" s="262"/>
      <c r="L17" s="262"/>
      <c r="M17" s="262"/>
      <c r="N17" s="262"/>
      <c r="O17" s="262"/>
    </row>
    <row r="18" spans="1:15" ht="9.9499999999999993" customHeight="1" x14ac:dyDescent="0.25">
      <c r="A18" s="37"/>
      <c r="C18" s="39"/>
      <c r="D18" s="39"/>
      <c r="E18" s="39"/>
      <c r="F18" s="39"/>
      <c r="G18" s="39"/>
      <c r="H18" s="39"/>
      <c r="I18" s="39"/>
      <c r="J18" s="39"/>
      <c r="K18" s="39"/>
      <c r="L18" s="39"/>
      <c r="M18" s="39"/>
      <c r="N18" s="39"/>
      <c r="O18" s="39"/>
    </row>
    <row r="19" spans="1:15" x14ac:dyDescent="0.25">
      <c r="A19" s="270" t="s">
        <v>96</v>
      </c>
      <c r="B19" s="271"/>
      <c r="C19" s="271"/>
      <c r="D19" s="271"/>
      <c r="E19" s="271"/>
      <c r="F19" s="271"/>
      <c r="G19" s="271"/>
      <c r="H19" s="271"/>
      <c r="I19" s="271"/>
      <c r="J19" s="271"/>
      <c r="K19" s="271"/>
      <c r="L19" s="271"/>
      <c r="M19" s="271"/>
      <c r="N19" s="271"/>
      <c r="O19" s="271"/>
    </row>
    <row r="20" spans="1:15" ht="45" customHeight="1" x14ac:dyDescent="0.25">
      <c r="A20" s="40"/>
      <c r="B20" s="262" t="s">
        <v>179</v>
      </c>
      <c r="C20" s="262"/>
      <c r="D20" s="262"/>
      <c r="E20" s="262"/>
      <c r="F20" s="262"/>
      <c r="G20" s="262"/>
      <c r="H20" s="262"/>
      <c r="I20" s="262"/>
      <c r="J20" s="262"/>
      <c r="K20" s="262"/>
      <c r="L20" s="262"/>
      <c r="M20" s="262"/>
      <c r="N20" s="262"/>
      <c r="O20" s="262"/>
    </row>
    <row r="21" spans="1:15" ht="5.0999999999999996" customHeight="1" x14ac:dyDescent="0.25">
      <c r="A21" s="40"/>
      <c r="B21" s="37"/>
      <c r="C21" s="37"/>
      <c r="D21" s="37"/>
      <c r="E21" s="37"/>
      <c r="F21" s="37"/>
      <c r="G21" s="37"/>
      <c r="H21" s="37"/>
      <c r="I21" s="37"/>
      <c r="J21" s="37"/>
      <c r="K21" s="37"/>
      <c r="L21" s="37"/>
      <c r="M21" s="37"/>
      <c r="N21" s="37"/>
      <c r="O21" s="37"/>
    </row>
    <row r="22" spans="1:15" ht="24.95" customHeight="1" x14ac:dyDescent="0.25">
      <c r="A22" s="101"/>
      <c r="B22" s="124" t="s">
        <v>155</v>
      </c>
      <c r="C22" s="125" t="s">
        <v>158</v>
      </c>
      <c r="D22" s="124" t="s">
        <v>155</v>
      </c>
      <c r="E22" s="125" t="s">
        <v>158</v>
      </c>
      <c r="F22" s="124" t="s">
        <v>155</v>
      </c>
      <c r="G22" s="125" t="s">
        <v>158</v>
      </c>
      <c r="H22" s="124"/>
      <c r="I22" s="124" t="s">
        <v>156</v>
      </c>
      <c r="J22" s="124" t="s">
        <v>157</v>
      </c>
      <c r="K22" s="124" t="s">
        <v>156</v>
      </c>
      <c r="L22" s="124" t="s">
        <v>157</v>
      </c>
      <c r="M22" s="124"/>
      <c r="N22" s="124"/>
      <c r="O22" s="124"/>
    </row>
    <row r="23" spans="1:15" ht="9.9499999999999993" customHeight="1" x14ac:dyDescent="0.25">
      <c r="A23" s="101"/>
      <c r="B23" s="127">
        <v>2000</v>
      </c>
      <c r="C23" s="127">
        <v>3.4</v>
      </c>
      <c r="D23" s="127">
        <v>2010</v>
      </c>
      <c r="E23" s="127">
        <v>1.6</v>
      </c>
      <c r="F23" s="127">
        <v>2020</v>
      </c>
      <c r="G23" s="127">
        <v>1.2</v>
      </c>
      <c r="H23" s="127"/>
      <c r="I23" s="127" t="s">
        <v>167</v>
      </c>
      <c r="J23" s="127">
        <f>AVERAGE(C23:C32)</f>
        <v>2.5599999999999996</v>
      </c>
      <c r="K23" s="127" t="s">
        <v>161</v>
      </c>
      <c r="L23" s="127">
        <f>AVERAGE(E23:E32)</f>
        <v>1.77</v>
      </c>
      <c r="M23" s="127"/>
      <c r="N23" s="127"/>
      <c r="O23" s="124"/>
    </row>
    <row r="24" spans="1:15" ht="9.9499999999999993" customHeight="1" x14ac:dyDescent="0.25">
      <c r="A24" s="101"/>
      <c r="B24" s="127">
        <v>2001</v>
      </c>
      <c r="C24" s="127">
        <v>2.8</v>
      </c>
      <c r="D24" s="127">
        <v>2011</v>
      </c>
      <c r="E24" s="127">
        <v>3.2</v>
      </c>
      <c r="F24" s="127">
        <v>2021</v>
      </c>
      <c r="G24" s="127">
        <v>4.7</v>
      </c>
      <c r="H24" s="127"/>
      <c r="I24" s="127" t="s">
        <v>166</v>
      </c>
      <c r="J24" s="127">
        <f>AVERAGE(C24:C32,E23)</f>
        <v>2.3800000000000003</v>
      </c>
      <c r="K24" s="127" t="s">
        <v>160</v>
      </c>
      <c r="L24" s="127">
        <f>AVERAGE(E24:E32,G23)</f>
        <v>1.73</v>
      </c>
      <c r="M24" s="127"/>
      <c r="N24" s="127"/>
      <c r="O24" s="124"/>
    </row>
    <row r="25" spans="1:15" ht="9.9499999999999993" customHeight="1" x14ac:dyDescent="0.25">
      <c r="A25" s="101"/>
      <c r="B25" s="127">
        <v>2002</v>
      </c>
      <c r="C25" s="127">
        <v>1.6</v>
      </c>
      <c r="D25" s="127">
        <v>2012</v>
      </c>
      <c r="E25" s="127">
        <v>2.1</v>
      </c>
      <c r="F25" s="127">
        <v>2022</v>
      </c>
      <c r="G25" s="127"/>
      <c r="H25" s="127"/>
      <c r="I25" s="127" t="s">
        <v>168</v>
      </c>
      <c r="J25" s="127">
        <f>AVERAGE(C25:C32,E23:E24)</f>
        <v>2.4200000000000004</v>
      </c>
      <c r="K25" s="127" t="s">
        <v>159</v>
      </c>
      <c r="L25" s="127">
        <f>AVERAGE(E25:E32,G23:G24)</f>
        <v>1.8800000000000001</v>
      </c>
      <c r="M25" s="127"/>
      <c r="N25" s="127"/>
      <c r="O25" s="124"/>
    </row>
    <row r="26" spans="1:15" ht="9.9499999999999993" customHeight="1" x14ac:dyDescent="0.25">
      <c r="A26" s="101"/>
      <c r="B26" s="127">
        <v>2003</v>
      </c>
      <c r="C26" s="127">
        <v>2.2999999999999998</v>
      </c>
      <c r="D26" s="127">
        <v>2013</v>
      </c>
      <c r="E26" s="127">
        <v>1.5</v>
      </c>
      <c r="F26" s="127">
        <v>2023</v>
      </c>
      <c r="G26" s="127"/>
      <c r="H26" s="127"/>
      <c r="I26" s="127" t="s">
        <v>169</v>
      </c>
      <c r="J26" s="127">
        <f>AVERAGE(C26:C32,E23:E25)</f>
        <v>2.4700000000000006</v>
      </c>
      <c r="K26" s="127" t="s">
        <v>172</v>
      </c>
      <c r="L26" s="127" t="str">
        <f>IF(G25="","",AVERAGE(E26:E32,G23:G25))</f>
        <v/>
      </c>
      <c r="M26" s="127"/>
      <c r="N26" s="127"/>
      <c r="O26" s="124"/>
    </row>
    <row r="27" spans="1:15" ht="9.9499999999999993" customHeight="1" x14ac:dyDescent="0.25">
      <c r="A27" s="101"/>
      <c r="B27" s="127">
        <v>2004</v>
      </c>
      <c r="C27" s="127">
        <v>2.7</v>
      </c>
      <c r="D27" s="127">
        <v>2014</v>
      </c>
      <c r="E27" s="127">
        <v>1.6</v>
      </c>
      <c r="F27" s="127">
        <v>2024</v>
      </c>
      <c r="G27" s="127"/>
      <c r="H27" s="127"/>
      <c r="I27" s="127" t="s">
        <v>170</v>
      </c>
      <c r="J27" s="127">
        <f>AVERAGE(C27:C32,E23:E26)</f>
        <v>2.39</v>
      </c>
      <c r="K27" s="127" t="s">
        <v>173</v>
      </c>
      <c r="L27" s="127" t="str">
        <f>IF(G26="","",AVERAGE(E27:E32,G23:G26))</f>
        <v/>
      </c>
      <c r="M27" s="127"/>
      <c r="N27" s="127"/>
      <c r="O27" s="124"/>
    </row>
    <row r="28" spans="1:15" ht="9.9499999999999993" customHeight="1" x14ac:dyDescent="0.25">
      <c r="A28" s="101"/>
      <c r="B28" s="127">
        <v>2005</v>
      </c>
      <c r="C28" s="127">
        <v>3.4</v>
      </c>
      <c r="D28" s="127">
        <v>2015</v>
      </c>
      <c r="E28" s="127">
        <v>0.1</v>
      </c>
      <c r="F28" s="127">
        <v>2025</v>
      </c>
      <c r="G28" s="127"/>
      <c r="H28" s="127"/>
      <c r="I28" s="127" t="s">
        <v>171</v>
      </c>
      <c r="J28" s="127">
        <f>AVERAGE(C28:C32,E23:E27)</f>
        <v>2.2800000000000002</v>
      </c>
      <c r="K28" s="127" t="s">
        <v>174</v>
      </c>
      <c r="L28" s="127" t="str">
        <f>IF(G27="","",AVERAGE(E28:E32,G23:G27))</f>
        <v/>
      </c>
      <c r="M28" s="127"/>
      <c r="N28" s="127"/>
      <c r="O28" s="124"/>
    </row>
    <row r="29" spans="1:15" ht="9.9499999999999993" customHeight="1" x14ac:dyDescent="0.25">
      <c r="A29" s="101"/>
      <c r="B29" s="127">
        <v>2006</v>
      </c>
      <c r="C29" s="127">
        <v>3.2</v>
      </c>
      <c r="D29" s="127">
        <v>2016</v>
      </c>
      <c r="E29" s="127">
        <v>1.3</v>
      </c>
      <c r="F29" s="127">
        <v>2026</v>
      </c>
      <c r="G29" s="127"/>
      <c r="H29" s="127"/>
      <c r="I29" s="127" t="s">
        <v>165</v>
      </c>
      <c r="J29" s="127">
        <f>AVERAGE(C29:C32,E23:E28)</f>
        <v>1.9500000000000004</v>
      </c>
      <c r="K29" s="127" t="s">
        <v>175</v>
      </c>
      <c r="L29" s="127" t="str">
        <f>IF(G28="","",AVERAGE(E29:E32,G23:G28))</f>
        <v/>
      </c>
      <c r="M29" s="127"/>
      <c r="N29" s="127"/>
      <c r="O29" s="124"/>
    </row>
    <row r="30" spans="1:15" ht="9.9499999999999993" customHeight="1" x14ac:dyDescent="0.25">
      <c r="A30" s="101"/>
      <c r="B30" s="127">
        <v>2007</v>
      </c>
      <c r="C30" s="127">
        <v>2.8</v>
      </c>
      <c r="D30" s="127">
        <v>2017</v>
      </c>
      <c r="E30" s="127">
        <v>2.1</v>
      </c>
      <c r="F30" s="127">
        <v>2027</v>
      </c>
      <c r="G30" s="127"/>
      <c r="H30" s="127"/>
      <c r="I30" s="127" t="s">
        <v>164</v>
      </c>
      <c r="J30" s="127">
        <f>AVERAGE(C30:C32,E23:E29)</f>
        <v>1.7600000000000002</v>
      </c>
      <c r="K30" s="127" t="s">
        <v>176</v>
      </c>
      <c r="L30" s="127" t="str">
        <f>IF(G29="","",AVERAGE(E30:E32,G23:G29))</f>
        <v/>
      </c>
      <c r="M30" s="127"/>
      <c r="N30" s="127"/>
      <c r="O30" s="124"/>
    </row>
    <row r="31" spans="1:15" ht="9.9499999999999993" customHeight="1" x14ac:dyDescent="0.25">
      <c r="A31" s="101"/>
      <c r="B31" s="127">
        <v>2008</v>
      </c>
      <c r="C31" s="127">
        <v>3.8</v>
      </c>
      <c r="D31" s="127">
        <v>2018</v>
      </c>
      <c r="E31" s="127">
        <v>2.4</v>
      </c>
      <c r="F31" s="127">
        <v>2028</v>
      </c>
      <c r="G31" s="127"/>
      <c r="H31" s="127"/>
      <c r="I31" s="127" t="s">
        <v>163</v>
      </c>
      <c r="J31" s="127">
        <f>AVERAGE(C31:C32,E23:E30)</f>
        <v>1.69</v>
      </c>
      <c r="K31" s="127" t="s">
        <v>177</v>
      </c>
      <c r="L31" s="127" t="str">
        <f>IF(G30="","",AVERAGE(E31:E32,G23:G30))</f>
        <v/>
      </c>
      <c r="M31" s="127"/>
      <c r="N31" s="127"/>
      <c r="O31" s="124"/>
    </row>
    <row r="32" spans="1:15" ht="9.9499999999999993" customHeight="1" x14ac:dyDescent="0.25">
      <c r="A32" s="101"/>
      <c r="B32" s="127">
        <v>2009</v>
      </c>
      <c r="C32" s="127">
        <v>-0.4</v>
      </c>
      <c r="D32" s="127">
        <v>2019</v>
      </c>
      <c r="E32" s="127">
        <v>1.8</v>
      </c>
      <c r="F32" s="127">
        <v>2029</v>
      </c>
      <c r="G32" s="127"/>
      <c r="H32" s="127"/>
      <c r="I32" s="127" t="s">
        <v>162</v>
      </c>
      <c r="J32" s="127">
        <f>AVERAGE(C32,E23:E31)</f>
        <v>1.55</v>
      </c>
      <c r="K32" s="127" t="s">
        <v>178</v>
      </c>
      <c r="L32" s="127" t="str">
        <f>IF(G31="","",AVERAGE(E32,G23:G31))</f>
        <v/>
      </c>
      <c r="M32" s="127"/>
      <c r="N32" s="127"/>
      <c r="O32" s="126"/>
    </row>
    <row r="33" spans="1:15" ht="5.0999999999999996" customHeight="1" x14ac:dyDescent="0.25">
      <c r="A33" s="101"/>
      <c r="B33" s="102"/>
      <c r="C33" s="102"/>
      <c r="D33" s="102"/>
      <c r="E33" s="102"/>
      <c r="F33" s="102"/>
      <c r="G33" s="102"/>
      <c r="H33" s="102"/>
      <c r="I33" s="102"/>
      <c r="J33" s="102"/>
      <c r="K33" s="102"/>
      <c r="L33" s="102"/>
      <c r="M33" s="102"/>
      <c r="N33" s="102"/>
      <c r="O33" s="102"/>
    </row>
    <row r="34" spans="1:15" ht="15" customHeight="1" x14ac:dyDescent="0.25">
      <c r="A34" s="41" t="s">
        <v>34</v>
      </c>
      <c r="B34" s="267" t="s">
        <v>180</v>
      </c>
      <c r="C34" s="267"/>
      <c r="D34" s="267"/>
      <c r="E34" s="267"/>
      <c r="F34" s="267"/>
      <c r="G34" s="267"/>
      <c r="H34" s="267"/>
      <c r="I34" s="267"/>
      <c r="J34" s="267"/>
      <c r="K34" s="267"/>
      <c r="L34" s="267"/>
      <c r="M34" s="267"/>
      <c r="N34" s="267"/>
      <c r="O34" s="267"/>
    </row>
    <row r="35" spans="1:15" x14ac:dyDescent="0.25">
      <c r="A35" s="37"/>
      <c r="B35" s="262" t="s">
        <v>183</v>
      </c>
      <c r="C35" s="273"/>
      <c r="D35" s="273"/>
      <c r="E35" s="273"/>
      <c r="F35" s="273"/>
      <c r="G35" s="273"/>
      <c r="H35" s="273"/>
      <c r="I35" s="273"/>
      <c r="J35" s="273"/>
      <c r="K35" s="273"/>
      <c r="L35" s="273"/>
      <c r="M35" s="273"/>
      <c r="N35" s="273"/>
      <c r="O35" s="273"/>
    </row>
    <row r="36" spans="1:15" x14ac:dyDescent="0.25">
      <c r="A36" s="37"/>
      <c r="B36" s="39"/>
      <c r="C36" s="262" t="s">
        <v>181</v>
      </c>
      <c r="D36" s="273"/>
      <c r="E36" s="273"/>
      <c r="F36" s="273"/>
      <c r="G36" s="273"/>
      <c r="H36" s="273"/>
      <c r="I36" s="273"/>
      <c r="J36" s="273"/>
      <c r="K36" s="273"/>
      <c r="L36" s="273"/>
      <c r="M36" s="273"/>
      <c r="N36" s="273"/>
      <c r="O36" s="273"/>
    </row>
    <row r="37" spans="1:15" x14ac:dyDescent="0.25">
      <c r="A37" s="37"/>
      <c r="B37" s="39"/>
      <c r="C37" s="262" t="s">
        <v>182</v>
      </c>
      <c r="D37" s="273"/>
      <c r="E37" s="273"/>
      <c r="F37" s="273"/>
      <c r="G37" s="273"/>
      <c r="H37" s="273"/>
      <c r="I37" s="273"/>
      <c r="J37" s="273"/>
      <c r="K37" s="273"/>
      <c r="L37" s="273"/>
      <c r="M37" s="273"/>
      <c r="N37" s="273"/>
      <c r="O37" s="273"/>
    </row>
    <row r="38" spans="1:15" x14ac:dyDescent="0.25">
      <c r="A38" s="37"/>
      <c r="B38" s="262" t="s">
        <v>184</v>
      </c>
      <c r="C38" s="273"/>
      <c r="D38" s="273"/>
      <c r="E38" s="273"/>
      <c r="F38" s="273"/>
      <c r="G38" s="273"/>
      <c r="H38" s="273"/>
      <c r="I38" s="273"/>
      <c r="J38" s="273"/>
      <c r="K38" s="273"/>
      <c r="L38" s="273"/>
      <c r="M38" s="273"/>
      <c r="N38" s="273"/>
      <c r="O38" s="273"/>
    </row>
    <row r="39" spans="1:15" ht="30" customHeight="1" x14ac:dyDescent="0.25">
      <c r="A39" s="37"/>
      <c r="B39" s="39"/>
      <c r="C39" s="262" t="s">
        <v>185</v>
      </c>
      <c r="D39" s="273"/>
      <c r="E39" s="273"/>
      <c r="F39" s="273"/>
      <c r="G39" s="273"/>
      <c r="H39" s="273"/>
      <c r="I39" s="273"/>
      <c r="J39" s="273"/>
      <c r="K39" s="273"/>
      <c r="L39" s="273"/>
      <c r="M39" s="273"/>
      <c r="N39" s="273"/>
      <c r="O39" s="273"/>
    </row>
    <row r="40" spans="1:15" x14ac:dyDescent="0.25">
      <c r="A40" s="37"/>
      <c r="B40" s="39"/>
      <c r="C40" s="262" t="s">
        <v>186</v>
      </c>
      <c r="D40" s="273"/>
      <c r="E40" s="273"/>
      <c r="F40" s="273"/>
      <c r="G40" s="273"/>
      <c r="H40" s="273"/>
      <c r="I40" s="273"/>
      <c r="J40" s="273"/>
      <c r="K40" s="273"/>
      <c r="L40" s="273"/>
      <c r="M40" s="273"/>
      <c r="N40" s="273"/>
      <c r="O40" s="273"/>
    </row>
    <row r="41" spans="1:15" ht="9.9499999999999993" customHeight="1" x14ac:dyDescent="0.25">
      <c r="A41" s="75"/>
      <c r="B41" s="75"/>
      <c r="C41" s="75"/>
      <c r="D41" s="75"/>
      <c r="E41" s="75"/>
      <c r="F41" s="75"/>
      <c r="G41" s="75"/>
      <c r="H41" s="75"/>
      <c r="I41" s="75"/>
      <c r="J41" s="75"/>
      <c r="K41" s="75"/>
      <c r="L41" s="75"/>
      <c r="M41" s="75"/>
      <c r="N41" s="75"/>
      <c r="O41" s="75"/>
    </row>
    <row r="42" spans="1:15" ht="30" customHeight="1" x14ac:dyDescent="0.25">
      <c r="A42" s="274" t="s">
        <v>93</v>
      </c>
      <c r="B42" s="274"/>
      <c r="C42" s="274"/>
      <c r="D42" s="274"/>
      <c r="E42" s="274"/>
      <c r="F42" s="274"/>
      <c r="G42" s="274"/>
      <c r="H42" s="274"/>
      <c r="I42" s="274"/>
      <c r="J42" s="274"/>
      <c r="K42" s="274"/>
      <c r="L42" s="274"/>
      <c r="M42" s="274"/>
      <c r="N42" s="274"/>
      <c r="O42" s="274"/>
    </row>
    <row r="43" spans="1:15" ht="30" customHeight="1" x14ac:dyDescent="0.25">
      <c r="A43" s="68"/>
      <c r="B43" s="272" t="s">
        <v>74</v>
      </c>
      <c r="C43" s="272"/>
      <c r="D43" s="272"/>
      <c r="E43" s="272"/>
      <c r="F43" s="272"/>
      <c r="G43" s="272"/>
      <c r="H43" s="272"/>
      <c r="I43" s="272"/>
      <c r="J43" s="272"/>
      <c r="K43" s="272"/>
      <c r="L43" s="272"/>
      <c r="M43" s="272"/>
      <c r="N43" s="272"/>
      <c r="O43" s="272"/>
    </row>
    <row r="44" spans="1:15" ht="9.9499999999999993" customHeight="1" x14ac:dyDescent="0.25">
      <c r="A44" s="68"/>
    </row>
    <row r="45" spans="1:15" x14ac:dyDescent="0.25">
      <c r="A45" s="274" t="s">
        <v>94</v>
      </c>
      <c r="B45" s="274"/>
      <c r="C45" s="274"/>
      <c r="D45" s="274"/>
      <c r="E45" s="274"/>
      <c r="F45" s="274"/>
      <c r="G45" s="274"/>
      <c r="H45" s="274"/>
      <c r="I45" s="274"/>
      <c r="J45" s="274"/>
      <c r="K45" s="274"/>
      <c r="L45" s="274"/>
      <c r="M45" s="274"/>
      <c r="N45" s="274"/>
      <c r="O45" s="274"/>
    </row>
    <row r="46" spans="1:15" ht="75" customHeight="1" x14ac:dyDescent="0.25">
      <c r="A46" s="68"/>
      <c r="B46" s="272" t="s">
        <v>98</v>
      </c>
      <c r="C46" s="272"/>
      <c r="D46" s="272"/>
      <c r="E46" s="272"/>
      <c r="F46" s="272"/>
      <c r="G46" s="272"/>
      <c r="H46" s="272"/>
      <c r="I46" s="272"/>
      <c r="J46" s="272"/>
      <c r="K46" s="272"/>
      <c r="L46" s="272"/>
      <c r="M46" s="272"/>
      <c r="N46" s="272"/>
      <c r="O46" s="272"/>
    </row>
    <row r="47" spans="1:15" ht="9.9499999999999993" customHeight="1" x14ac:dyDescent="0.25">
      <c r="A47" s="68"/>
      <c r="B47" s="67"/>
      <c r="C47" s="67"/>
      <c r="D47" s="67"/>
      <c r="E47" s="67"/>
      <c r="F47" s="67"/>
      <c r="G47" s="67"/>
      <c r="H47" s="67"/>
      <c r="I47" s="67"/>
      <c r="J47" s="67"/>
      <c r="K47" s="67"/>
      <c r="L47" s="67"/>
      <c r="M47" s="67"/>
      <c r="N47" s="67"/>
      <c r="O47" s="67"/>
    </row>
    <row r="48" spans="1:15" ht="30" customHeight="1" x14ac:dyDescent="0.25">
      <c r="A48" s="274" t="s">
        <v>101</v>
      </c>
      <c r="B48" s="274"/>
      <c r="C48" s="274"/>
      <c r="D48" s="274"/>
      <c r="E48" s="274"/>
      <c r="F48" s="274"/>
      <c r="G48" s="274"/>
      <c r="H48" s="274"/>
      <c r="I48" s="274"/>
      <c r="J48" s="274"/>
      <c r="K48" s="274"/>
      <c r="L48" s="274"/>
      <c r="M48" s="274"/>
      <c r="N48" s="274"/>
      <c r="O48" s="274"/>
    </row>
    <row r="49" spans="1:15" ht="30" customHeight="1" x14ac:dyDescent="0.25">
      <c r="A49" s="68"/>
      <c r="B49" s="272" t="s">
        <v>102</v>
      </c>
      <c r="C49" s="272"/>
      <c r="D49" s="272"/>
      <c r="E49" s="272"/>
      <c r="F49" s="272"/>
      <c r="G49" s="272"/>
      <c r="H49" s="272"/>
      <c r="I49" s="272"/>
      <c r="J49" s="272"/>
      <c r="K49" s="272"/>
      <c r="L49" s="272"/>
      <c r="M49" s="272"/>
      <c r="N49" s="272"/>
      <c r="O49" s="272"/>
    </row>
    <row r="50" spans="1:15" ht="9.9499999999999993" customHeight="1" x14ac:dyDescent="0.25">
      <c r="A50" s="68"/>
    </row>
    <row r="51" spans="1:15" x14ac:dyDescent="0.25">
      <c r="A51" s="274" t="s">
        <v>99</v>
      </c>
      <c r="B51" s="274"/>
      <c r="C51" s="274"/>
      <c r="D51" s="274"/>
      <c r="E51" s="274"/>
      <c r="F51" s="274"/>
      <c r="G51" s="274"/>
      <c r="H51" s="274"/>
      <c r="I51" s="274"/>
      <c r="J51" s="274"/>
      <c r="K51" s="274"/>
      <c r="L51" s="274"/>
      <c r="M51" s="274"/>
      <c r="N51" s="274"/>
      <c r="O51" s="274"/>
    </row>
    <row r="52" spans="1:15" ht="45" customHeight="1" x14ac:dyDescent="0.25">
      <c r="A52" s="68"/>
      <c r="B52" s="272" t="s">
        <v>144</v>
      </c>
      <c r="C52" s="272"/>
      <c r="D52" s="272"/>
      <c r="E52" s="272"/>
      <c r="F52" s="272"/>
      <c r="G52" s="272"/>
      <c r="H52" s="272"/>
      <c r="I52" s="272"/>
      <c r="J52" s="272"/>
      <c r="K52" s="272"/>
      <c r="L52" s="272"/>
      <c r="M52" s="272"/>
      <c r="N52" s="272"/>
      <c r="O52" s="272"/>
    </row>
    <row r="53" spans="1:15" ht="9.9499999999999993" customHeight="1" x14ac:dyDescent="0.25">
      <c r="A53" s="68"/>
    </row>
    <row r="54" spans="1:15" x14ac:dyDescent="0.25">
      <c r="A54" s="76" t="s">
        <v>100</v>
      </c>
    </row>
    <row r="55" spans="1:15" x14ac:dyDescent="0.25">
      <c r="A55" s="42"/>
      <c r="B55" s="37" t="s">
        <v>36</v>
      </c>
      <c r="C55" s="269" t="s">
        <v>64</v>
      </c>
      <c r="D55" s="269"/>
      <c r="E55" s="269"/>
      <c r="F55" s="44" t="s">
        <v>37</v>
      </c>
      <c r="G55" s="269" t="s">
        <v>145</v>
      </c>
      <c r="H55" s="269"/>
      <c r="I55" s="269"/>
      <c r="J55" s="269"/>
    </row>
    <row r="56" spans="1:15" ht="9.9499999999999993" customHeight="1" x14ac:dyDescent="0.25"/>
    <row r="57" spans="1:15" x14ac:dyDescent="0.25">
      <c r="A57" s="45" t="s">
        <v>193</v>
      </c>
    </row>
  </sheetData>
  <sheetProtection password="AB33" sheet="1" selectLockedCells="1"/>
  <mergeCells count="34">
    <mergeCell ref="A51:O51"/>
    <mergeCell ref="B52:O52"/>
    <mergeCell ref="B49:O49"/>
    <mergeCell ref="A48:O48"/>
    <mergeCell ref="A45:O45"/>
    <mergeCell ref="B46:O46"/>
    <mergeCell ref="C37:O37"/>
    <mergeCell ref="B35:O35"/>
    <mergeCell ref="C36:O36"/>
    <mergeCell ref="B38:O38"/>
    <mergeCell ref="A42:O42"/>
    <mergeCell ref="B43:O43"/>
    <mergeCell ref="C39:O39"/>
    <mergeCell ref="C40:O40"/>
    <mergeCell ref="B4:O4"/>
    <mergeCell ref="C17:O17"/>
    <mergeCell ref="B11:O11"/>
    <mergeCell ref="B13:O13"/>
    <mergeCell ref="B15:O15"/>
    <mergeCell ref="C14:O14"/>
    <mergeCell ref="C12:O12"/>
    <mergeCell ref="C16:O16"/>
    <mergeCell ref="B8:O8"/>
    <mergeCell ref="B7:G7"/>
    <mergeCell ref="B2:O2"/>
    <mergeCell ref="A1:O1"/>
    <mergeCell ref="B3:O3"/>
    <mergeCell ref="B6:O6"/>
    <mergeCell ref="B10:O10"/>
    <mergeCell ref="C55:E55"/>
    <mergeCell ref="G55:J55"/>
    <mergeCell ref="A19:O19"/>
    <mergeCell ref="B20:O20"/>
    <mergeCell ref="B34:O34"/>
  </mergeCells>
  <hyperlinks>
    <hyperlink ref="B3" r:id="rId1"/>
    <hyperlink ref="C55" r:id="rId2" display="Emily.Willis@dot.state.oh.us"/>
    <hyperlink ref="G55" r:id="rId3" display="Duane.Soisson@dot.state.oh.us"/>
    <hyperlink ref="C55:E55" r:id="rId4" display="Emily.Willis@dot.ohio.gov"/>
    <hyperlink ref="G55:J55" r:id="rId5" display="Christopher.Wilson@dot.ohio.gov"/>
    <hyperlink ref="B5" r:id="rId6"/>
    <hyperlink ref="B7" r:id="rId7"/>
  </hyperlinks>
  <pageMargins left="0.2" right="0.2" top="0.25" bottom="0.25" header="0.3" footer="0.3"/>
  <pageSetup scale="75" orientation="portrait"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1DED274ECD6764DA36B0A60A1EE24F8" ma:contentTypeVersion="9" ma:contentTypeDescription="Create a new document." ma:contentTypeScope="" ma:versionID="bdffb16167723a8889a39c5febc1ac56">
  <xsd:schema xmlns:xsd="http://www.w3.org/2001/XMLSchema" xmlns:xs="http://www.w3.org/2001/XMLSchema" xmlns:p="http://schemas.microsoft.com/office/2006/metadata/properties" targetNamespace="http://schemas.microsoft.com/office/2006/metadata/properties" ma:root="true" ma:fieldsID="adb877a061c50b7eeb70172cdd5c5d1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613C1F-FC8B-4B40-AA8A-73B617F809C8}">
  <ds:schemaRefs>
    <ds:schemaRef ds:uri="http://schemas.microsoft.com/sharepoint/v3/contenttype/forms"/>
  </ds:schemaRefs>
</ds:datastoreItem>
</file>

<file path=customXml/itemProps2.xml><?xml version="1.0" encoding="utf-8"?>
<ds:datastoreItem xmlns:ds="http://schemas.openxmlformats.org/officeDocument/2006/customXml" ds:itemID="{0AD72320-D09F-402B-8DC3-6B981E072B48}">
  <ds:schemaRefs>
    <ds:schemaRef ds:uri="http://schemas.microsoft.com/office/2006/metadata/longProperties"/>
  </ds:schemaRefs>
</ds:datastoreItem>
</file>

<file path=customXml/itemProps3.xml><?xml version="1.0" encoding="utf-8"?>
<ds:datastoreItem xmlns:ds="http://schemas.openxmlformats.org/officeDocument/2006/customXml" ds:itemID="{27883024-B592-481E-85FF-D0634682D27B}"/>
</file>

<file path=customXml/itemProps4.xml><?xml version="1.0" encoding="utf-8"?>
<ds:datastoreItem xmlns:ds="http://schemas.openxmlformats.org/officeDocument/2006/customXml" ds:itemID="{07D5DEF1-E4DA-4A90-A17B-4DFFA718218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No Lanes Closed</vt:lpstr>
      <vt:lpstr>Lane(s) Closed on Mainline</vt:lpstr>
      <vt:lpstr>Lane(s) Closed Calc Method</vt:lpstr>
      <vt:lpstr>Lane(s) Closed Violation Calc</vt:lpstr>
      <vt:lpstr>Lane Closed on 2-Ln System Ramp</vt:lpstr>
      <vt:lpstr>Detour (Actual Drive Time)</vt:lpstr>
      <vt:lpstr>Detour (Distance &amp; Speed)</vt:lpstr>
      <vt:lpstr>CPI Data</vt:lpstr>
      <vt:lpstr>FAQ</vt:lpstr>
      <vt:lpstr>Revision History</vt:lpstr>
      <vt:lpstr>'Detour (Actual Drive Time)'!Print_Area</vt:lpstr>
      <vt:lpstr>'Detour (Distance &amp; Speed)'!Print_Area</vt:lpstr>
      <vt:lpstr>FAQ!Print_Area</vt:lpstr>
      <vt:lpstr>'Lane Closed on 2-Ln System Ramp'!Print_Area</vt:lpstr>
      <vt:lpstr>'Lane(s) Closed Calc Method'!Print_Area</vt:lpstr>
      <vt:lpstr>'Lane(s) Closed on Mainline'!Print_Area</vt:lpstr>
      <vt:lpstr>'Lane(s) Closed Violation Calc'!Print_Area</vt:lpstr>
      <vt:lpstr>'No Lanes Closed'!Print_Area</vt:lpstr>
      <vt:lpstr>'Revision History'!Print_Area</vt:lpstr>
      <vt:lpstr>'Revision History'!Print_Titles</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User Cost Calculator</dc:title>
  <dc:creator>Robert Jessberger</dc:creator>
  <cp:lastModifiedBy>Emily Willis</cp:lastModifiedBy>
  <cp:lastPrinted>2022-02-09T22:15:25Z</cp:lastPrinted>
  <dcterms:created xsi:type="dcterms:W3CDTF">2003-05-13T14:17:50Z</dcterms:created>
  <dcterms:modified xsi:type="dcterms:W3CDTF">2022-02-09T22:21:59Z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display_urn:schemas-microsoft-com:office:office#Author">
    <vt:lpwstr>System Account</vt:lpwstr>
  </property>
  <property fmtid="{D5CDD505-2E9C-101B-9397-08002B2CF9AE}" pid="5" name="TemplateUrl">
    <vt:lpwstr/>
  </property>
  <property fmtid="{D5CDD505-2E9C-101B-9397-08002B2CF9AE}" pid="6" name="xd_ProgID">
    <vt:lpwstr/>
  </property>
  <property fmtid="{D5CDD505-2E9C-101B-9397-08002B2CF9AE}" pid="7" name="ContentType">
    <vt:lpwstr>Document</vt:lpwstr>
  </property>
  <property fmtid="{D5CDD505-2E9C-101B-9397-08002B2CF9AE}" pid="8" name="ContentTypeId">
    <vt:lpwstr>0x01010031DED274ECD6764DA36B0A60A1EE24F8</vt:lpwstr>
  </property>
</Properties>
</file>